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  (с марта)" sheetId="3" r:id="rId3"/>
    <sheet name="2015 " sheetId="4" r:id="rId4"/>
  </sheets>
  <definedNames>
    <definedName name="_xlnm.Print_Area" localSheetId="3">'2015 '!$A$1:$F$52</definedName>
    <definedName name="_xlnm.Print_Area" localSheetId="2">'2015  (с марта)'!$A$1:$F$32</definedName>
    <definedName name="_xlnm.Print_Area" localSheetId="1">'2016'!$A$1:$F$32</definedName>
  </definedNames>
  <calcPr fullCalcOnLoad="1" refMode="R1C1"/>
</workbook>
</file>

<file path=xl/sharedStrings.xml><?xml version="1.0" encoding="utf-8"?>
<sst xmlns="http://schemas.openxmlformats.org/spreadsheetml/2006/main" count="315" uniqueCount="133">
  <si>
    <t>Пос. Дружный, ул. Свободы, д. 8</t>
  </si>
  <si>
    <t>Общая плошадь квартир — 2705,60 м.кв.</t>
  </si>
  <si>
    <t>Начислено</t>
  </si>
  <si>
    <t>Итого</t>
  </si>
  <si>
    <t>Вид</t>
  </si>
  <si>
    <t>Сумма, рублей</t>
  </si>
  <si>
    <t>1.</t>
  </si>
  <si>
    <t>Услуги управления</t>
  </si>
  <si>
    <t>2.</t>
  </si>
  <si>
    <t>Обслуживание ВДГО</t>
  </si>
  <si>
    <t>3.</t>
  </si>
  <si>
    <t>4.</t>
  </si>
  <si>
    <t>Содержание общего имущества, в т.ч.</t>
  </si>
  <si>
    <t>-</t>
  </si>
  <si>
    <t>Всего работ за период</t>
  </si>
  <si>
    <t>Дата</t>
  </si>
  <si>
    <t>В управлении ООО "УК Самбия -Юг" - с 01.03.2015 года</t>
  </si>
  <si>
    <t>Задолженность на 01.03.2015</t>
  </si>
  <si>
    <t>Откачка хоз. бытовых стоков</t>
  </si>
  <si>
    <t>Сантехнические работы</t>
  </si>
  <si>
    <t>Электромонтажные работы</t>
  </si>
  <si>
    <t>Общестроительные работы</t>
  </si>
  <si>
    <t>Оплачено</t>
  </si>
  <si>
    <t>руб.</t>
  </si>
  <si>
    <r>
      <t xml:space="preserve">№ </t>
    </r>
    <r>
      <rPr>
        <b/>
        <sz val="10"/>
        <rFont val="Arial"/>
        <family val="2"/>
      </rPr>
      <t>п/п</t>
    </r>
  </si>
  <si>
    <t>Сальдо на 31.07.2015г (по начислениям) (+)</t>
  </si>
  <si>
    <t>Задолженность населения на 31.07.2015 г., в т.ч.</t>
  </si>
  <si>
    <t>Вид работ</t>
  </si>
  <si>
    <t>Ст-ть работ</t>
  </si>
  <si>
    <t>№</t>
  </si>
  <si>
    <t>осмотр помещений на предмет утечки</t>
  </si>
  <si>
    <t>смена ламп, ремонтные работы</t>
  </si>
  <si>
    <t>ремонт трубопровода</t>
  </si>
  <si>
    <t>замена монометров</t>
  </si>
  <si>
    <t>Остаток по старой УК 143 233,27 руб</t>
  </si>
  <si>
    <t>Задолженность по старой УК - 87 972,35 руб.</t>
  </si>
  <si>
    <t>Расходы по обслуживанию МКД</t>
  </si>
  <si>
    <t>Обслуживание жилья</t>
  </si>
  <si>
    <t>Санитарное содержание</t>
  </si>
  <si>
    <t>осмотр систем водоснабжения, водоотведения,  ремонтные работы</t>
  </si>
  <si>
    <t>снятие показания приборов э/э</t>
  </si>
  <si>
    <t>Задолженность на 31.07.2015г</t>
  </si>
  <si>
    <t>ИТОГО:</t>
  </si>
  <si>
    <t>замена стекол в МОП, замена дверного доводчика</t>
  </si>
  <si>
    <t>очистка канализации</t>
  </si>
  <si>
    <t>ежемесячно обслуживание итп</t>
  </si>
  <si>
    <t>до мая 2015</t>
  </si>
  <si>
    <t>площадь</t>
  </si>
  <si>
    <t>з/п</t>
  </si>
  <si>
    <t>дворника</t>
  </si>
  <si>
    <t>уборщицы</t>
  </si>
  <si>
    <t>Персонифицированный учет МКД за  2015 г.</t>
  </si>
  <si>
    <t>Справочно: финансовый результат с учетом задолженности</t>
  </si>
  <si>
    <r>
      <t xml:space="preserve">№ </t>
    </r>
    <r>
      <rPr>
        <b/>
        <sz val="12"/>
        <rFont val="Times New Roman"/>
        <family val="1"/>
      </rPr>
      <t>п/п</t>
    </r>
  </si>
  <si>
    <t>Задолженность на 01.03.2015 г.</t>
  </si>
  <si>
    <t>Задолжен-ность на 01.03.2015</t>
  </si>
  <si>
    <t>Услуга</t>
  </si>
  <si>
    <t>Задолженность на 31.12.2015г</t>
  </si>
  <si>
    <t>Обслуживание ИТП</t>
  </si>
  <si>
    <t>Санитарное содержание прилегающей территории</t>
  </si>
  <si>
    <t>Задолженность населения на 31.12.2015 г.</t>
  </si>
  <si>
    <t>ежемесячно</t>
  </si>
  <si>
    <t>снятие показания приборов учета электроэнергии</t>
  </si>
  <si>
    <t>тариф</t>
  </si>
  <si>
    <t>упр-е</t>
  </si>
  <si>
    <t>двор</t>
  </si>
  <si>
    <t>Наименование</t>
  </si>
  <si>
    <t>Снятие показаний приборов учета электроэнергии</t>
  </si>
  <si>
    <t>замена манометров</t>
  </si>
  <si>
    <t>частичная окраска фасада</t>
  </si>
  <si>
    <t>смена обрешетки сплошным настилом из досок</t>
  </si>
  <si>
    <t>частичный ремонт кровли, фасада, водосточной системы, аренда автовышки</t>
  </si>
  <si>
    <t>Сальдо на 31.12.2015 г.</t>
  </si>
  <si>
    <t>Материалы</t>
  </si>
  <si>
    <t>ежемесячно обслуживание УУТЭ - 900р</t>
  </si>
  <si>
    <t>Персонифицированный учет МКД за  2016 г.</t>
  </si>
  <si>
    <t>Задолженность на 01.01.2016 г.</t>
  </si>
  <si>
    <t>Остаток на 01.01.2016 г.</t>
  </si>
  <si>
    <t>Обслуживание УУТЭ</t>
  </si>
  <si>
    <t>Сальдо на 31.12.2016 г.</t>
  </si>
  <si>
    <t>Задолженность населения на 31.12.2016 г.</t>
  </si>
  <si>
    <t>Установка счетчиков (водомеров)</t>
  </si>
  <si>
    <t>Устранение обрыва магистрали</t>
  </si>
  <si>
    <t>Аварийка</t>
  </si>
  <si>
    <t>Осмотр чердачных и подвальных помещений, сис. водоснабжения</t>
  </si>
  <si>
    <t>Откачка стоков</t>
  </si>
  <si>
    <t>Ремонт силового предохранительного шкафа</t>
  </si>
  <si>
    <t xml:space="preserve">Светильник потолочный или настенный с креплением </t>
  </si>
  <si>
    <t>Ремонт задвижек без снятия арматуры</t>
  </si>
  <si>
    <t>Уборка подвала</t>
  </si>
  <si>
    <t xml:space="preserve">Осмотр электрических сетей </t>
  </si>
  <si>
    <t>Ремонт отдельными местами рулонного покрытия</t>
  </si>
  <si>
    <t>Осмотр чердачных и подвальных помещений</t>
  </si>
  <si>
    <t>Откачка стоков, промывка труб</t>
  </si>
  <si>
    <t>Трубо-печные работы</t>
  </si>
  <si>
    <t>Очистка канализационной сети внутренней</t>
  </si>
  <si>
    <t>Прокладка трубопроводов водоснабжения, установка фильтров</t>
  </si>
  <si>
    <t>Снятие показания приборов учета электроэнергии</t>
  </si>
  <si>
    <t>Аварийная служба</t>
  </si>
  <si>
    <t>Персонифицированный учет МКД за  2017 г.</t>
  </si>
  <si>
    <t>Остаток на 01.01.2017 г.</t>
  </si>
  <si>
    <t>Задолженность на 01.01.2017 г.</t>
  </si>
  <si>
    <t>Задолженность на 31.12.2017г</t>
  </si>
  <si>
    <t>Задолжен-ность на 01.01.2017</t>
  </si>
  <si>
    <t>Сальдо на 31.12.2017 г.</t>
  </si>
  <si>
    <t>Задолженность населения на 31.12.2017 г.</t>
  </si>
  <si>
    <t>Задолжен-ность на 01.01.2016</t>
  </si>
  <si>
    <t>Задолженность на 31.12.2016г</t>
  </si>
  <si>
    <t>кгм нет</t>
  </si>
  <si>
    <t>покос входит</t>
  </si>
  <si>
    <t>Обследование электрических сетей.</t>
  </si>
  <si>
    <t>Снятие показаний с приборов учета электроэнергии</t>
  </si>
  <si>
    <t>Обследование электрических сетей. Автомат</t>
  </si>
  <si>
    <t>Демонтаж/монтаж автомата</t>
  </si>
  <si>
    <t>Обследование электрических сетей. Смена ламп накаливания</t>
  </si>
  <si>
    <t xml:space="preserve">Обследование чердачных, подвальных и лест. клеток  на предмет утечки трубопроводов. </t>
  </si>
  <si>
    <t>Обследование чердачных, подвальных и лест. клеток  на предмет утечки трубопроводов.</t>
  </si>
  <si>
    <t>Ремонт кровли</t>
  </si>
  <si>
    <t>Покос</t>
  </si>
  <si>
    <t>Техническое обслуживание УУТЭ</t>
  </si>
  <si>
    <t>Промывка труб канализационной системы, откачка и транспортировка хозяйственно-бытовых стоков</t>
  </si>
  <si>
    <t>Откачка и транспортировка хозяйственно-бытовых стоков</t>
  </si>
  <si>
    <t>Промывка труб канализационной системы</t>
  </si>
  <si>
    <t>Аварийные работы. Засор канализации</t>
  </si>
  <si>
    <t>Аварийные работы. Нет света</t>
  </si>
  <si>
    <t>Установка дверного доводчика</t>
  </si>
  <si>
    <t>снятие показаний общедомового прибора учета э/э</t>
  </si>
  <si>
    <t>ежемесячно с 01.01.2017 по 31.07.2017</t>
  </si>
  <si>
    <t>Хол.вода на соид</t>
  </si>
  <si>
    <t>Электроэнергия на соид</t>
  </si>
  <si>
    <t>ТБО</t>
  </si>
  <si>
    <t>с 01.06.2017</t>
  </si>
  <si>
    <t>Вывоз ТБО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</si>
</sst>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0.0"/>
    <numFmt numFmtId="167" formatCode="[$-FC19]d\ mmmm\ yyyy\ &quot;г.&quot;"/>
  </numFmts>
  <fonts count="49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left"/>
    </xf>
    <xf numFmtId="4" fontId="0" fillId="33" borderId="13" xfId="0" applyNumberForma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/>
    </xf>
    <xf numFmtId="14" fontId="0" fillId="33" borderId="0" xfId="0" applyNumberFormat="1" applyFill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14" fontId="0" fillId="9" borderId="13" xfId="0" applyNumberFormat="1" applyFont="1" applyFill="1" applyBorder="1" applyAlignment="1">
      <alignment horizontal="center" vertical="center"/>
    </xf>
    <xf numFmtId="4" fontId="0" fillId="9" borderId="13" xfId="0" applyNumberFormat="1" applyFill="1" applyBorder="1" applyAlignment="1">
      <alignment horizontal="center"/>
    </xf>
    <xf numFmtId="0" fontId="0" fillId="9" borderId="0" xfId="0" applyFont="1" applyFill="1" applyAlignment="1">
      <alignment vertical="center"/>
    </xf>
    <xf numFmtId="4" fontId="0" fillId="9" borderId="13" xfId="0" applyNumberForma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14" fontId="0" fillId="34" borderId="13" xfId="0" applyNumberFormat="1" applyFont="1" applyFill="1" applyBorder="1" applyAlignment="1">
      <alignment horizontal="center" vertical="center"/>
    </xf>
    <xf numFmtId="4" fontId="0" fillId="34" borderId="13" xfId="0" applyNumberFormat="1" applyFill="1" applyBorder="1" applyAlignment="1">
      <alignment horizontal="center"/>
    </xf>
    <xf numFmtId="0" fontId="0" fillId="34" borderId="0" xfId="0" applyFont="1" applyFill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2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9" borderId="0" xfId="0" applyFont="1" applyFill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14" fontId="4" fillId="33" borderId="13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/>
    </xf>
    <xf numFmtId="14" fontId="4" fillId="0" borderId="13" xfId="0" applyNumberFormat="1" applyFont="1" applyBorder="1" applyAlignment="1">
      <alignment horizontal="center" vertical="center"/>
    </xf>
    <xf numFmtId="14" fontId="4" fillId="9" borderId="13" xfId="0" applyNumberFormat="1" applyFont="1" applyFill="1" applyBorder="1" applyAlignment="1">
      <alignment horizontal="center" vertical="center"/>
    </xf>
    <xf numFmtId="4" fontId="4" fillId="9" borderId="13" xfId="0" applyNumberFormat="1" applyFont="1" applyFill="1" applyBorder="1" applyAlignment="1">
      <alignment horizontal="center"/>
    </xf>
    <xf numFmtId="4" fontId="4" fillId="9" borderId="13" xfId="0" applyNumberFormat="1" applyFont="1" applyFill="1" applyBorder="1" applyAlignment="1">
      <alignment horizontal="center" vertical="center"/>
    </xf>
    <xf numFmtId="14" fontId="4" fillId="34" borderId="13" xfId="0" applyNumberFormat="1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4" fontId="2" fillId="0" borderId="2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left"/>
    </xf>
    <xf numFmtId="14" fontId="4" fillId="0" borderId="13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/>
    </xf>
    <xf numFmtId="4" fontId="4" fillId="14" borderId="13" xfId="0" applyNumberFormat="1" applyFont="1" applyFill="1" applyBorder="1" applyAlignment="1">
      <alignment horizontal="center" vertical="center"/>
    </xf>
    <xf numFmtId="4" fontId="4" fillId="14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horizontal="left" wrapText="1"/>
    </xf>
    <xf numFmtId="0" fontId="4" fillId="33" borderId="3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4" fontId="4" fillId="33" borderId="29" xfId="0" applyNumberFormat="1" applyFont="1" applyFill="1" applyBorder="1" applyAlignment="1">
      <alignment horizontal="left" wrapText="1"/>
    </xf>
    <xf numFmtId="4" fontId="4" fillId="33" borderId="30" xfId="0" applyNumberFormat="1" applyFont="1" applyFill="1" applyBorder="1" applyAlignment="1">
      <alignment horizontal="left" wrapText="1"/>
    </xf>
    <xf numFmtId="4" fontId="4" fillId="33" borderId="31" xfId="0" applyNumberFormat="1" applyFont="1" applyFill="1" applyBorder="1" applyAlignment="1">
      <alignment horizontal="left" wrapText="1"/>
    </xf>
    <xf numFmtId="0" fontId="4" fillId="33" borderId="29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left"/>
    </xf>
    <xf numFmtId="0" fontId="3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0" fillId="33" borderId="29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wrapText="1"/>
    </xf>
    <xf numFmtId="0" fontId="0" fillId="33" borderId="30" xfId="0" applyFont="1" applyFill="1" applyBorder="1" applyAlignment="1">
      <alignment horizontal="left" wrapText="1"/>
    </xf>
    <xf numFmtId="0" fontId="0" fillId="33" borderId="31" xfId="0" applyFont="1" applyFill="1" applyBorder="1" applyAlignment="1">
      <alignment horizontal="left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9" borderId="1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9" borderId="29" xfId="0" applyFont="1" applyFill="1" applyBorder="1" applyAlignment="1">
      <alignment horizontal="left"/>
    </xf>
    <xf numFmtId="0" fontId="0" fillId="9" borderId="30" xfId="0" applyFont="1" applyFill="1" applyBorder="1" applyAlignment="1">
      <alignment horizontal="left"/>
    </xf>
    <xf numFmtId="0" fontId="0" fillId="9" borderId="31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0" fillId="34" borderId="30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left"/>
    </xf>
    <xf numFmtId="0" fontId="2" fillId="33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14" fontId="48" fillId="33" borderId="13" xfId="0" applyNumberFormat="1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left" vertical="center" wrapText="1"/>
    </xf>
    <xf numFmtId="0" fontId="48" fillId="33" borderId="40" xfId="0" applyFont="1" applyFill="1" applyBorder="1" applyAlignment="1">
      <alignment horizontal="left" vertical="center" wrapText="1"/>
    </xf>
    <xf numFmtId="0" fontId="48" fillId="33" borderId="41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48" fillId="37" borderId="13" xfId="0" applyFont="1" applyFill="1" applyBorder="1" applyAlignment="1">
      <alignment horizontal="center" vertical="center"/>
    </xf>
    <xf numFmtId="0" fontId="48" fillId="33" borderId="39" xfId="0" applyFont="1" applyFill="1" applyBorder="1" applyAlignment="1">
      <alignment horizontal="left" vertical="center"/>
    </xf>
    <xf numFmtId="0" fontId="48" fillId="33" borderId="40" xfId="0" applyFont="1" applyFill="1" applyBorder="1" applyAlignment="1">
      <alignment horizontal="left" vertical="center"/>
    </xf>
    <xf numFmtId="0" fontId="48" fillId="33" borderId="4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left" vertical="center" wrapText="1"/>
    </xf>
    <xf numFmtId="0" fontId="2" fillId="38" borderId="40" xfId="0" applyFont="1" applyFill="1" applyBorder="1" applyAlignment="1">
      <alignment horizontal="left" vertical="center" wrapText="1"/>
    </xf>
    <xf numFmtId="0" fontId="2" fillId="38" borderId="41" xfId="0" applyFont="1" applyFill="1" applyBorder="1" applyAlignment="1">
      <alignment horizontal="left" vertical="center" wrapText="1"/>
    </xf>
    <xf numFmtId="4" fontId="2" fillId="38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48" fillId="33" borderId="39" xfId="0" applyFont="1" applyFill="1" applyBorder="1" applyAlignment="1">
      <alignment horizontal="left" vertical="center"/>
    </xf>
    <xf numFmtId="0" fontId="48" fillId="33" borderId="40" xfId="0" applyFont="1" applyFill="1" applyBorder="1" applyAlignment="1">
      <alignment horizontal="left" vertical="center"/>
    </xf>
    <xf numFmtId="0" fontId="48" fillId="33" borderId="41" xfId="0" applyFont="1" applyFill="1" applyBorder="1" applyAlignment="1">
      <alignment horizontal="left" vertical="center"/>
    </xf>
    <xf numFmtId="0" fontId="48" fillId="39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4" fillId="40" borderId="39" xfId="0" applyFont="1" applyFill="1" applyBorder="1" applyAlignment="1">
      <alignment horizontal="left" vertical="center" wrapText="1"/>
    </xf>
    <xf numFmtId="0" fontId="4" fillId="40" borderId="40" xfId="0" applyFont="1" applyFill="1" applyBorder="1" applyAlignment="1">
      <alignment horizontal="left" vertical="center" wrapText="1"/>
    </xf>
    <xf numFmtId="0" fontId="4" fillId="40" borderId="4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/>
    </xf>
    <xf numFmtId="14" fontId="4" fillId="40" borderId="13" xfId="0" applyNumberFormat="1" applyFont="1" applyFill="1" applyBorder="1" applyAlignment="1">
      <alignment horizontal="center" vertical="center" wrapText="1"/>
    </xf>
    <xf numFmtId="4" fontId="4" fillId="41" borderId="13" xfId="0" applyNumberFormat="1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15" borderId="13" xfId="0" applyFont="1" applyFill="1" applyBorder="1" applyAlignment="1">
      <alignment horizontal="center" vertical="center"/>
    </xf>
    <xf numFmtId="0" fontId="48" fillId="14" borderId="13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1">
      <selection activeCell="F34" sqref="F34"/>
    </sheetView>
  </sheetViews>
  <sheetFormatPr defaultColWidth="9.140625" defaultRowHeight="12.75" outlineLevelRow="2"/>
  <cols>
    <col min="1" max="1" width="4.421875" style="57" customWidth="1"/>
    <col min="2" max="2" width="15.140625" style="54" customWidth="1"/>
    <col min="3" max="3" width="16.00390625" style="54" customWidth="1"/>
    <col min="4" max="4" width="13.57421875" style="54" customWidth="1"/>
    <col min="5" max="5" width="14.00390625" style="54" customWidth="1"/>
    <col min="6" max="6" width="18.140625" style="54" customWidth="1"/>
    <col min="7" max="7" width="11.00390625" style="54" customWidth="1"/>
    <col min="8" max="8" width="9.140625" style="54" customWidth="1"/>
    <col min="9" max="9" width="11.140625" style="54" customWidth="1"/>
    <col min="10" max="10" width="11.00390625" style="54" customWidth="1"/>
    <col min="11" max="11" width="9.8515625" style="54" customWidth="1"/>
    <col min="12" max="16384" width="9.140625" style="54" customWidth="1"/>
  </cols>
  <sheetData>
    <row r="1" spans="1:7" ht="15.75">
      <c r="A1" s="145" t="s">
        <v>99</v>
      </c>
      <c r="B1" s="145"/>
      <c r="C1" s="145"/>
      <c r="D1" s="145"/>
      <c r="E1" s="145"/>
      <c r="F1" s="145"/>
      <c r="G1" s="53"/>
    </row>
    <row r="2" spans="1:8" ht="15.75">
      <c r="A2" s="145" t="s">
        <v>0</v>
      </c>
      <c r="B2" s="145"/>
      <c r="C2" s="145"/>
      <c r="D2" s="145"/>
      <c r="E2" s="145"/>
      <c r="F2" s="145"/>
      <c r="G2" s="55"/>
      <c r="H2" s="56"/>
    </row>
    <row r="3" ht="9" customHeight="1"/>
    <row r="4" spans="2:7" ht="15.75" hidden="1" outlineLevel="2">
      <c r="B4" s="146" t="s">
        <v>16</v>
      </c>
      <c r="C4" s="146"/>
      <c r="D4" s="146"/>
      <c r="E4" s="146"/>
      <c r="F4" s="146"/>
      <c r="G4" s="146"/>
    </row>
    <row r="5" spans="2:7" ht="15.75" hidden="1" outlineLevel="2">
      <c r="B5" s="146" t="s">
        <v>1</v>
      </c>
      <c r="C5" s="146"/>
      <c r="D5" s="146"/>
      <c r="E5" s="146"/>
      <c r="F5" s="146"/>
      <c r="G5" s="146"/>
    </row>
    <row r="6" ht="9" customHeight="1" outlineLevel="1" collapsed="1"/>
    <row r="7" spans="1:5" ht="15.75" outlineLevel="1">
      <c r="A7" s="55"/>
      <c r="B7" s="55"/>
      <c r="C7" s="55"/>
      <c r="D7" s="73"/>
      <c r="E7" s="55"/>
    </row>
    <row r="8" spans="1:6" ht="15.75" outlineLevel="1">
      <c r="A8" s="55" t="s">
        <v>100</v>
      </c>
      <c r="C8" s="58"/>
      <c r="D8" s="74">
        <f>'2016'!F31</f>
        <v>119805.62</v>
      </c>
      <c r="E8" s="58" t="s">
        <v>23</v>
      </c>
      <c r="F8" s="58"/>
    </row>
    <row r="9" spans="1:6" ht="15.75" outlineLevel="1">
      <c r="A9" s="55" t="s">
        <v>101</v>
      </c>
      <c r="C9" s="58"/>
      <c r="D9" s="74">
        <f>C16</f>
        <v>-75885.54999999999</v>
      </c>
      <c r="E9" s="58" t="s">
        <v>23</v>
      </c>
      <c r="F9" s="58"/>
    </row>
    <row r="10" spans="2:6" ht="15.75" outlineLevel="1">
      <c r="B10" s="58"/>
      <c r="C10" s="58"/>
      <c r="D10" s="58"/>
      <c r="E10" s="58"/>
      <c r="F10" s="59" t="s">
        <v>23</v>
      </c>
    </row>
    <row r="11" spans="2:6" s="57" customFormat="1" ht="28.5" customHeight="1" outlineLevel="1">
      <c r="B11" s="75" t="s">
        <v>56</v>
      </c>
      <c r="C11" s="76" t="s">
        <v>103</v>
      </c>
      <c r="D11" s="76" t="s">
        <v>2</v>
      </c>
      <c r="E11" s="76" t="s">
        <v>22</v>
      </c>
      <c r="F11" s="76" t="s">
        <v>102</v>
      </c>
    </row>
    <row r="12" spans="2:9" ht="35.25" customHeight="1" outlineLevel="1">
      <c r="B12" s="77" t="s">
        <v>37</v>
      </c>
      <c r="C12" s="78">
        <v>-65179.619999999995</v>
      </c>
      <c r="D12" s="79">
        <f>284737.48-28856.47</f>
        <v>255881.00999999998</v>
      </c>
      <c r="E12" s="79">
        <v>253081.72</v>
      </c>
      <c r="F12" s="79">
        <f>C12-D12+E12</f>
        <v>-67978.91</v>
      </c>
      <c r="G12" s="51" t="s">
        <v>63</v>
      </c>
      <c r="H12" s="51">
        <v>8.77</v>
      </c>
      <c r="I12" s="81">
        <f>H12*12*I24</f>
        <v>284737.344</v>
      </c>
    </row>
    <row r="13" spans="2:9" ht="45.75" customHeight="1" outlineLevel="1">
      <c r="B13" s="77" t="s">
        <v>18</v>
      </c>
      <c r="C13" s="78">
        <v>-10705.93</v>
      </c>
      <c r="D13" s="79">
        <f>46752.72-2463.74</f>
        <v>44288.98</v>
      </c>
      <c r="E13" s="79">
        <v>43041.82</v>
      </c>
      <c r="F13" s="79">
        <f>C13-D13+E13</f>
        <v>-11953.090000000004</v>
      </c>
      <c r="G13" s="82" t="s">
        <v>64</v>
      </c>
      <c r="H13" s="51">
        <v>1.81</v>
      </c>
      <c r="I13" s="83">
        <f>H13*12*I24</f>
        <v>58765.632</v>
      </c>
    </row>
    <row r="14" spans="2:10" ht="45.75" customHeight="1" outlineLevel="1">
      <c r="B14" s="237" t="s">
        <v>128</v>
      </c>
      <c r="C14" s="238">
        <v>0</v>
      </c>
      <c r="D14" s="239">
        <f>1088.64+544.32-108.3</f>
        <v>1524.66</v>
      </c>
      <c r="E14" s="239">
        <v>1187.46</v>
      </c>
      <c r="F14" s="79">
        <f>C14-D14+E14</f>
        <v>-337.20000000000005</v>
      </c>
      <c r="G14" s="82" t="s">
        <v>130</v>
      </c>
      <c r="H14" s="51">
        <v>2.33</v>
      </c>
      <c r="I14" s="83">
        <f>H14*7*I24</f>
        <v>44128.336</v>
      </c>
      <c r="J14" s="54" t="s">
        <v>131</v>
      </c>
    </row>
    <row r="15" spans="2:9" ht="45.75" customHeight="1" outlineLevel="1">
      <c r="B15" s="237" t="s">
        <v>129</v>
      </c>
      <c r="C15" s="238">
        <v>0</v>
      </c>
      <c r="D15" s="239">
        <f>31450.89-56785.05+25334.16+31428.51</f>
        <v>31428.509999999995</v>
      </c>
      <c r="E15" s="239">
        <v>31884.74</v>
      </c>
      <c r="F15" s="79">
        <f>C15-D15+E15</f>
        <v>456.23000000000684</v>
      </c>
      <c r="G15" s="82"/>
      <c r="H15" s="51"/>
      <c r="I15" s="83"/>
    </row>
    <row r="16" spans="2:9" ht="33.75" customHeight="1" outlineLevel="1">
      <c r="B16" s="77" t="s">
        <v>3</v>
      </c>
      <c r="C16" s="78">
        <f>SUM(C12:C15)</f>
        <v>-75885.54999999999</v>
      </c>
      <c r="D16" s="78">
        <f>SUM(D12:D15)</f>
        <v>333123.16</v>
      </c>
      <c r="E16" s="78">
        <f>SUM(E12:E15)</f>
        <v>329195.74</v>
      </c>
      <c r="F16" s="78">
        <f>SUM(F12:F15)</f>
        <v>-79812.96999999999</v>
      </c>
      <c r="G16" s="82" t="s">
        <v>65</v>
      </c>
      <c r="H16" s="51">
        <v>2.29</v>
      </c>
      <c r="I16" s="83">
        <f>H16*12*I24</f>
        <v>74349.88799999999</v>
      </c>
    </row>
    <row r="17" spans="7:9" ht="26.25" customHeight="1" outlineLevel="1">
      <c r="G17" s="51"/>
      <c r="H17" s="51"/>
      <c r="I17" s="81"/>
    </row>
    <row r="18" spans="2:8" ht="11.25" customHeight="1">
      <c r="B18" s="53"/>
      <c r="C18" s="53"/>
      <c r="D18" s="53"/>
      <c r="E18" s="53"/>
      <c r="F18" s="53"/>
      <c r="H18" s="199" t="s">
        <v>108</v>
      </c>
    </row>
    <row r="19" spans="1:8" ht="15.75">
      <c r="A19" s="147" t="s">
        <v>36</v>
      </c>
      <c r="B19" s="147"/>
      <c r="C19" s="147"/>
      <c r="D19" s="147"/>
      <c r="E19" s="147"/>
      <c r="F19" s="147"/>
      <c r="H19" s="199"/>
    </row>
    <row r="20" spans="1:8" ht="31.5">
      <c r="A20" s="61" t="s">
        <v>53</v>
      </c>
      <c r="B20" s="148" t="s">
        <v>66</v>
      </c>
      <c r="C20" s="148"/>
      <c r="D20" s="148"/>
      <c r="E20" s="148"/>
      <c r="F20" s="62" t="s">
        <v>5</v>
      </c>
      <c r="H20" s="199" t="s">
        <v>109</v>
      </c>
    </row>
    <row r="21" spans="1:7" ht="15.75">
      <c r="A21" s="61">
        <v>1</v>
      </c>
      <c r="B21" s="144" t="s">
        <v>7</v>
      </c>
      <c r="C21" s="144"/>
      <c r="D21" s="144"/>
      <c r="E21" s="144"/>
      <c r="F21" s="109">
        <f>I13</f>
        <v>58765.632</v>
      </c>
      <c r="G21" s="63"/>
    </row>
    <row r="22" spans="1:9" ht="18" customHeight="1">
      <c r="A22" s="110">
        <v>2</v>
      </c>
      <c r="B22" s="136" t="s">
        <v>78</v>
      </c>
      <c r="C22" s="136"/>
      <c r="D22" s="136"/>
      <c r="E22" s="136"/>
      <c r="F22" s="111">
        <f>F62+F63+F64+F65+F66+F67+F68+F69</f>
        <v>7200</v>
      </c>
      <c r="G22" s="58"/>
      <c r="I22" s="54" t="s">
        <v>74</v>
      </c>
    </row>
    <row r="23" spans="1:9" ht="18" customHeight="1">
      <c r="A23" s="110">
        <v>3</v>
      </c>
      <c r="B23" s="136" t="s">
        <v>59</v>
      </c>
      <c r="C23" s="136"/>
      <c r="D23" s="136"/>
      <c r="E23" s="136"/>
      <c r="F23" s="111">
        <f>I16</f>
        <v>74349.88799999999</v>
      </c>
      <c r="G23" s="80"/>
      <c r="I23" s="54" t="s">
        <v>47</v>
      </c>
    </row>
    <row r="24" spans="1:9" ht="18" customHeight="1">
      <c r="A24" s="110">
        <v>4</v>
      </c>
      <c r="B24" s="136" t="s">
        <v>12</v>
      </c>
      <c r="C24" s="136"/>
      <c r="D24" s="136"/>
      <c r="E24" s="136"/>
      <c r="F24" s="111">
        <f>F25+F26+F28+F27+F29</f>
        <v>105098</v>
      </c>
      <c r="G24" s="58"/>
      <c r="I24" s="54">
        <v>2705.6</v>
      </c>
    </row>
    <row r="25" spans="1:11" ht="18" customHeight="1">
      <c r="A25" s="110" t="s">
        <v>13</v>
      </c>
      <c r="B25" s="136" t="s">
        <v>19</v>
      </c>
      <c r="C25" s="136"/>
      <c r="D25" s="136"/>
      <c r="E25" s="136"/>
      <c r="F25" s="111">
        <f>F52+F53+F54+F55+F56+F57+F58+F59</f>
        <v>11587</v>
      </c>
      <c r="G25" s="58"/>
      <c r="I25" s="54" t="s">
        <v>48</v>
      </c>
      <c r="J25" s="68" t="s">
        <v>49</v>
      </c>
      <c r="K25" s="68"/>
    </row>
    <row r="26" spans="1:11" ht="15.75">
      <c r="A26" s="110" t="s">
        <v>13</v>
      </c>
      <c r="B26" s="136" t="s">
        <v>20</v>
      </c>
      <c r="C26" s="136"/>
      <c r="D26" s="136"/>
      <c r="E26" s="136"/>
      <c r="F26" s="111">
        <f>F40+F41+F42+F43+F44+F45+F46+F47+F48+F49+F50+F51</f>
        <v>19751</v>
      </c>
      <c r="G26" s="80"/>
      <c r="J26" s="48">
        <f>8734.94/(2791.5+2707.9)*I24</f>
        <v>4297.424021529621</v>
      </c>
      <c r="K26" s="48"/>
    </row>
    <row r="27" spans="1:11" ht="15.75">
      <c r="A27" s="110" t="s">
        <v>13</v>
      </c>
      <c r="B27" s="136" t="s">
        <v>21</v>
      </c>
      <c r="C27" s="136"/>
      <c r="D27" s="136"/>
      <c r="E27" s="136"/>
      <c r="F27" s="111">
        <f>F60+F79</f>
        <v>17130</v>
      </c>
      <c r="G27" s="58"/>
      <c r="J27" s="48">
        <f>J26*12</f>
        <v>51569.088258355456</v>
      </c>
      <c r="K27" s="48"/>
    </row>
    <row r="28" spans="1:7" ht="41.25" customHeight="1">
      <c r="A28" s="110" t="s">
        <v>13</v>
      </c>
      <c r="B28" s="136" t="s">
        <v>120</v>
      </c>
      <c r="C28" s="136"/>
      <c r="D28" s="136"/>
      <c r="E28" s="136"/>
      <c r="F28" s="111">
        <f>F70+F71+F72+F73+F74+F75+F76</f>
        <v>55200</v>
      </c>
      <c r="G28" s="58"/>
    </row>
    <row r="29" spans="1:7" ht="15.75">
      <c r="A29" s="110" t="s">
        <v>13</v>
      </c>
      <c r="B29" s="136" t="s">
        <v>98</v>
      </c>
      <c r="C29" s="136"/>
      <c r="D29" s="136"/>
      <c r="E29" s="136"/>
      <c r="F29" s="111">
        <f>F77+F78</f>
        <v>1430</v>
      </c>
      <c r="G29" s="58"/>
    </row>
    <row r="30" spans="1:7" ht="15.75">
      <c r="A30" s="110">
        <v>5</v>
      </c>
      <c r="B30" s="137" t="s">
        <v>128</v>
      </c>
      <c r="C30" s="138"/>
      <c r="D30" s="138"/>
      <c r="E30" s="139"/>
      <c r="F30" s="111">
        <f>D14</f>
        <v>1524.66</v>
      </c>
      <c r="G30" s="58"/>
    </row>
    <row r="31" spans="1:7" ht="15.75">
      <c r="A31" s="240">
        <v>6</v>
      </c>
      <c r="B31" s="137" t="s">
        <v>129</v>
      </c>
      <c r="C31" s="138"/>
      <c r="D31" s="138"/>
      <c r="E31" s="139"/>
      <c r="F31" s="241">
        <f>D15</f>
        <v>31428.509999999995</v>
      </c>
      <c r="G31" s="58"/>
    </row>
    <row r="32" spans="1:7" ht="15.75">
      <c r="A32" s="240">
        <v>7</v>
      </c>
      <c r="B32" s="137" t="s">
        <v>132</v>
      </c>
      <c r="C32" s="138"/>
      <c r="D32" s="138"/>
      <c r="E32" s="139"/>
      <c r="F32" s="241">
        <f>I14</f>
        <v>44128.336</v>
      </c>
      <c r="G32" s="58"/>
    </row>
    <row r="33" spans="1:7" s="71" customFormat="1" ht="15.75">
      <c r="A33" s="112" t="s">
        <v>13</v>
      </c>
      <c r="B33" s="140" t="s">
        <v>14</v>
      </c>
      <c r="C33" s="140"/>
      <c r="D33" s="140"/>
      <c r="E33" s="140"/>
      <c r="F33" s="113">
        <f>F21+F22+F23+F24+F30+F31+F32</f>
        <v>322495.026</v>
      </c>
      <c r="G33" s="55"/>
    </row>
    <row r="34" spans="1:7" s="71" customFormat="1" ht="15.75">
      <c r="A34" s="108"/>
      <c r="B34" s="54"/>
      <c r="C34" s="54"/>
      <c r="D34" s="54"/>
      <c r="E34" s="54"/>
      <c r="F34" s="54"/>
      <c r="G34" s="55"/>
    </row>
    <row r="35" spans="1:6" ht="18" customHeight="1">
      <c r="A35" s="141" t="s">
        <v>104</v>
      </c>
      <c r="B35" s="142"/>
      <c r="C35" s="142"/>
      <c r="D35" s="142"/>
      <c r="E35" s="143"/>
      <c r="F35" s="60">
        <f>D16-F33+D8</f>
        <v>130433.75399999996</v>
      </c>
    </row>
    <row r="36" spans="1:6" ht="20.25" customHeight="1">
      <c r="A36" s="130" t="s">
        <v>105</v>
      </c>
      <c r="B36" s="131"/>
      <c r="C36" s="131"/>
      <c r="D36" s="131"/>
      <c r="E36" s="132"/>
      <c r="F36" s="103">
        <f>F16</f>
        <v>-79812.96999999999</v>
      </c>
    </row>
    <row r="37" spans="1:6" s="51" customFormat="1" ht="18" customHeight="1" hidden="1" outlineLevel="1">
      <c r="A37" s="98" t="s">
        <v>52</v>
      </c>
      <c r="B37" s="68"/>
      <c r="C37" s="68"/>
      <c r="D37" s="68"/>
      <c r="E37" s="68"/>
      <c r="F37" s="99">
        <f>F35+F36</f>
        <v>50620.78399999997</v>
      </c>
    </row>
    <row r="38" ht="18" customHeight="1" collapsed="1"/>
    <row r="39" spans="1:6" s="51" customFormat="1" ht="15.75">
      <c r="A39" s="200" t="s">
        <v>29</v>
      </c>
      <c r="B39" s="200" t="s">
        <v>15</v>
      </c>
      <c r="C39" s="201" t="s">
        <v>27</v>
      </c>
      <c r="D39" s="202"/>
      <c r="E39" s="203"/>
      <c r="F39" s="204" t="s">
        <v>28</v>
      </c>
    </row>
    <row r="40" spans="1:6" s="51" customFormat="1" ht="45">
      <c r="A40" s="200"/>
      <c r="B40" s="242" t="s">
        <v>127</v>
      </c>
      <c r="C40" s="234" t="s">
        <v>126</v>
      </c>
      <c r="D40" s="235"/>
      <c r="E40" s="236"/>
      <c r="F40" s="243">
        <f>170*7</f>
        <v>1190</v>
      </c>
    </row>
    <row r="41" spans="1:6" s="51" customFormat="1" ht="15.75" customHeight="1">
      <c r="A41" s="204"/>
      <c r="B41" s="205">
        <v>42948</v>
      </c>
      <c r="C41" s="206" t="s">
        <v>110</v>
      </c>
      <c r="D41" s="207"/>
      <c r="E41" s="208"/>
      <c r="F41" s="209">
        <v>850</v>
      </c>
    </row>
    <row r="42" spans="1:6" s="51" customFormat="1" ht="15.75" customHeight="1">
      <c r="A42" s="204"/>
      <c r="B42" s="205">
        <v>42978</v>
      </c>
      <c r="C42" s="206" t="s">
        <v>111</v>
      </c>
      <c r="D42" s="207"/>
      <c r="E42" s="208"/>
      <c r="F42" s="209">
        <v>330</v>
      </c>
    </row>
    <row r="43" spans="1:6" s="51" customFormat="1" ht="15.75" customHeight="1">
      <c r="A43" s="204"/>
      <c r="B43" s="205">
        <v>43008</v>
      </c>
      <c r="C43" s="206" t="s">
        <v>111</v>
      </c>
      <c r="D43" s="207"/>
      <c r="E43" s="208"/>
      <c r="F43" s="209">
        <v>330</v>
      </c>
    </row>
    <row r="44" spans="1:6" s="51" customFormat="1" ht="15.75">
      <c r="A44" s="204"/>
      <c r="B44" s="205">
        <v>42991</v>
      </c>
      <c r="C44" s="206" t="s">
        <v>110</v>
      </c>
      <c r="D44" s="207"/>
      <c r="E44" s="208"/>
      <c r="F44" s="209">
        <v>425</v>
      </c>
    </row>
    <row r="45" spans="1:6" s="51" customFormat="1" ht="28.5" customHeight="1">
      <c r="A45" s="204"/>
      <c r="B45" s="205">
        <v>43012</v>
      </c>
      <c r="C45" s="206" t="s">
        <v>112</v>
      </c>
      <c r="D45" s="207"/>
      <c r="E45" s="208"/>
      <c r="F45" s="209">
        <v>1552</v>
      </c>
    </row>
    <row r="46" spans="1:6" s="51" customFormat="1" ht="28.5" customHeight="1">
      <c r="A46" s="204"/>
      <c r="B46" s="205">
        <v>43012</v>
      </c>
      <c r="C46" s="206" t="s">
        <v>113</v>
      </c>
      <c r="D46" s="207"/>
      <c r="E46" s="208"/>
      <c r="F46" s="209">
        <v>12773</v>
      </c>
    </row>
    <row r="47" spans="1:6" s="51" customFormat="1" ht="15.75">
      <c r="A47" s="204"/>
      <c r="B47" s="205">
        <v>43039</v>
      </c>
      <c r="C47" s="206" t="s">
        <v>111</v>
      </c>
      <c r="D47" s="207"/>
      <c r="E47" s="208"/>
      <c r="F47" s="209">
        <v>330</v>
      </c>
    </row>
    <row r="48" spans="1:6" s="51" customFormat="1" ht="15.75">
      <c r="A48" s="204"/>
      <c r="B48" s="205">
        <v>43069</v>
      </c>
      <c r="C48" s="206" t="s">
        <v>111</v>
      </c>
      <c r="D48" s="207"/>
      <c r="E48" s="208"/>
      <c r="F48" s="209">
        <v>330</v>
      </c>
    </row>
    <row r="49" spans="1:6" s="51" customFormat="1" ht="15.75">
      <c r="A49" s="204"/>
      <c r="B49" s="205">
        <v>43098</v>
      </c>
      <c r="C49" s="206" t="s">
        <v>111</v>
      </c>
      <c r="D49" s="207"/>
      <c r="E49" s="208"/>
      <c r="F49" s="209">
        <v>330</v>
      </c>
    </row>
    <row r="50" spans="1:6" s="51" customFormat="1" ht="15.75">
      <c r="A50" s="204"/>
      <c r="B50" s="205">
        <v>43087</v>
      </c>
      <c r="C50" s="206" t="s">
        <v>114</v>
      </c>
      <c r="D50" s="207"/>
      <c r="E50" s="208"/>
      <c r="F50" s="209">
        <v>673</v>
      </c>
    </row>
    <row r="51" spans="1:6" s="51" customFormat="1" ht="28.5" customHeight="1">
      <c r="A51" s="204"/>
      <c r="B51" s="205">
        <v>43095</v>
      </c>
      <c r="C51" s="206" t="s">
        <v>110</v>
      </c>
      <c r="D51" s="207"/>
      <c r="E51" s="208"/>
      <c r="F51" s="209">
        <v>638</v>
      </c>
    </row>
    <row r="52" spans="1:6" s="51" customFormat="1" ht="15.75" customHeight="1">
      <c r="A52" s="210"/>
      <c r="B52" s="205">
        <v>42929</v>
      </c>
      <c r="C52" s="206" t="s">
        <v>115</v>
      </c>
      <c r="D52" s="207"/>
      <c r="E52" s="208"/>
      <c r="F52" s="211">
        <v>754</v>
      </c>
    </row>
    <row r="53" spans="1:6" s="51" customFormat="1" ht="15.75">
      <c r="A53" s="210"/>
      <c r="B53" s="205">
        <v>42948</v>
      </c>
      <c r="C53" s="206" t="s">
        <v>116</v>
      </c>
      <c r="D53" s="207"/>
      <c r="E53" s="208"/>
      <c r="F53" s="211">
        <v>377</v>
      </c>
    </row>
    <row r="54" spans="1:6" s="51" customFormat="1" ht="15.75" customHeight="1">
      <c r="A54" s="210"/>
      <c r="B54" s="205">
        <v>42958</v>
      </c>
      <c r="C54" s="206" t="s">
        <v>116</v>
      </c>
      <c r="D54" s="207"/>
      <c r="E54" s="208"/>
      <c r="F54" s="211">
        <v>1508</v>
      </c>
    </row>
    <row r="55" spans="1:6" s="51" customFormat="1" ht="28.5" customHeight="1">
      <c r="A55" s="210"/>
      <c r="B55" s="205">
        <v>43047</v>
      </c>
      <c r="C55" s="206" t="s">
        <v>116</v>
      </c>
      <c r="D55" s="207"/>
      <c r="E55" s="208"/>
      <c r="F55" s="211">
        <v>1131</v>
      </c>
    </row>
    <row r="56" spans="1:6" s="51" customFormat="1" ht="28.5" customHeight="1">
      <c r="A56" s="210"/>
      <c r="B56" s="205">
        <v>43059</v>
      </c>
      <c r="C56" s="206" t="s">
        <v>116</v>
      </c>
      <c r="D56" s="207"/>
      <c r="E56" s="208"/>
      <c r="F56" s="211">
        <v>754</v>
      </c>
    </row>
    <row r="57" spans="1:6" s="51" customFormat="1" ht="28.5" customHeight="1">
      <c r="A57" s="210"/>
      <c r="B57" s="205">
        <v>43080</v>
      </c>
      <c r="C57" s="206" t="s">
        <v>116</v>
      </c>
      <c r="D57" s="207"/>
      <c r="E57" s="208"/>
      <c r="F57" s="211">
        <v>3016</v>
      </c>
    </row>
    <row r="58" spans="1:6" s="51" customFormat="1" ht="15.75" customHeight="1">
      <c r="A58" s="210"/>
      <c r="B58" s="205">
        <v>43089</v>
      </c>
      <c r="C58" s="206" t="s">
        <v>116</v>
      </c>
      <c r="D58" s="207"/>
      <c r="E58" s="208"/>
      <c r="F58" s="211">
        <v>1031</v>
      </c>
    </row>
    <row r="59" spans="1:6" s="51" customFormat="1" ht="28.5" customHeight="1">
      <c r="A59" s="210"/>
      <c r="B59" s="205">
        <v>43091</v>
      </c>
      <c r="C59" s="206" t="s">
        <v>116</v>
      </c>
      <c r="D59" s="207"/>
      <c r="E59" s="208"/>
      <c r="F59" s="211">
        <v>3016</v>
      </c>
    </row>
    <row r="60" spans="1:6" s="51" customFormat="1" ht="15.75" customHeight="1">
      <c r="A60" s="210"/>
      <c r="B60" s="205">
        <v>42975</v>
      </c>
      <c r="C60" s="206" t="s">
        <v>117</v>
      </c>
      <c r="D60" s="207"/>
      <c r="E60" s="208"/>
      <c r="F60" s="212">
        <v>14930</v>
      </c>
    </row>
    <row r="61" spans="1:6" s="51" customFormat="1" ht="15.75" customHeight="1">
      <c r="A61" s="210"/>
      <c r="B61" s="205">
        <v>42947</v>
      </c>
      <c r="C61" s="213" t="s">
        <v>118</v>
      </c>
      <c r="D61" s="214"/>
      <c r="E61" s="215"/>
      <c r="F61" s="210">
        <v>456</v>
      </c>
    </row>
    <row r="62" spans="1:6" s="51" customFormat="1" ht="15.75" customHeight="1">
      <c r="A62" s="244"/>
      <c r="B62" s="205">
        <v>42763</v>
      </c>
      <c r="C62" s="206" t="s">
        <v>119</v>
      </c>
      <c r="D62" s="207"/>
      <c r="E62" s="208"/>
      <c r="F62" s="245">
        <v>900</v>
      </c>
    </row>
    <row r="63" spans="1:6" s="51" customFormat="1" ht="15.75" customHeight="1">
      <c r="A63" s="244"/>
      <c r="B63" s="205">
        <v>42794</v>
      </c>
      <c r="C63" s="206" t="s">
        <v>119</v>
      </c>
      <c r="D63" s="207"/>
      <c r="E63" s="208"/>
      <c r="F63" s="245">
        <v>900</v>
      </c>
    </row>
    <row r="64" spans="1:6" s="51" customFormat="1" ht="15.75" customHeight="1">
      <c r="A64" s="244"/>
      <c r="B64" s="205">
        <v>42819</v>
      </c>
      <c r="C64" s="206" t="s">
        <v>119</v>
      </c>
      <c r="D64" s="207"/>
      <c r="E64" s="208"/>
      <c r="F64" s="245">
        <v>900</v>
      </c>
    </row>
    <row r="65" spans="1:6" s="51" customFormat="1" ht="15.75" customHeight="1">
      <c r="A65" s="244"/>
      <c r="B65" s="205">
        <v>42845</v>
      </c>
      <c r="C65" s="206" t="s">
        <v>119</v>
      </c>
      <c r="D65" s="207"/>
      <c r="E65" s="208"/>
      <c r="F65" s="245">
        <v>900</v>
      </c>
    </row>
    <row r="66" spans="1:6" s="51" customFormat="1" ht="15.75" customHeight="1">
      <c r="A66" s="244"/>
      <c r="B66" s="205">
        <v>42873</v>
      </c>
      <c r="C66" s="206" t="s">
        <v>119</v>
      </c>
      <c r="D66" s="207"/>
      <c r="E66" s="208"/>
      <c r="F66" s="245">
        <v>900</v>
      </c>
    </row>
    <row r="67" spans="1:6" s="51" customFormat="1" ht="15.75" customHeight="1">
      <c r="A67" s="244"/>
      <c r="B67" s="205">
        <v>43032</v>
      </c>
      <c r="C67" s="206" t="s">
        <v>119</v>
      </c>
      <c r="D67" s="207"/>
      <c r="E67" s="208"/>
      <c r="F67" s="245">
        <v>900</v>
      </c>
    </row>
    <row r="68" spans="1:6" s="51" customFormat="1" ht="15.75" customHeight="1">
      <c r="A68" s="244"/>
      <c r="B68" s="205">
        <v>43063</v>
      </c>
      <c r="C68" s="206" t="s">
        <v>119</v>
      </c>
      <c r="D68" s="207"/>
      <c r="E68" s="208"/>
      <c r="F68" s="245">
        <v>900</v>
      </c>
    </row>
    <row r="69" spans="1:6" s="51" customFormat="1" ht="15.75" customHeight="1">
      <c r="A69" s="244"/>
      <c r="B69" s="205">
        <v>43093</v>
      </c>
      <c r="C69" s="206" t="s">
        <v>119</v>
      </c>
      <c r="D69" s="207"/>
      <c r="E69" s="208"/>
      <c r="F69" s="245">
        <v>900</v>
      </c>
    </row>
    <row r="70" spans="1:6" s="51" customFormat="1" ht="56.25" customHeight="1">
      <c r="A70" s="244"/>
      <c r="B70" s="205">
        <v>42810</v>
      </c>
      <c r="C70" s="206" t="s">
        <v>120</v>
      </c>
      <c r="D70" s="207"/>
      <c r="E70" s="208"/>
      <c r="F70" s="246">
        <v>17800</v>
      </c>
    </row>
    <row r="71" spans="1:6" s="51" customFormat="1" ht="56.25" customHeight="1">
      <c r="A71" s="244"/>
      <c r="B71" s="205">
        <v>42929</v>
      </c>
      <c r="C71" s="206" t="s">
        <v>120</v>
      </c>
      <c r="D71" s="207"/>
      <c r="E71" s="208"/>
      <c r="F71" s="246">
        <v>17800</v>
      </c>
    </row>
    <row r="72" spans="1:6" s="51" customFormat="1" ht="40.5" customHeight="1">
      <c r="A72" s="244"/>
      <c r="B72" s="205">
        <v>42950</v>
      </c>
      <c r="C72" s="206" t="s">
        <v>121</v>
      </c>
      <c r="D72" s="207"/>
      <c r="E72" s="208"/>
      <c r="F72" s="246">
        <v>2900</v>
      </c>
    </row>
    <row r="73" spans="1:6" s="51" customFormat="1" ht="26.25" customHeight="1">
      <c r="A73" s="244"/>
      <c r="B73" s="205">
        <v>42958</v>
      </c>
      <c r="C73" s="206" t="s">
        <v>122</v>
      </c>
      <c r="D73" s="207"/>
      <c r="E73" s="208"/>
      <c r="F73" s="246">
        <v>2400</v>
      </c>
    </row>
    <row r="74" spans="1:6" s="51" customFormat="1" ht="46.5" customHeight="1">
      <c r="A74" s="244"/>
      <c r="B74" s="205">
        <v>43048</v>
      </c>
      <c r="C74" s="206" t="s">
        <v>120</v>
      </c>
      <c r="D74" s="207"/>
      <c r="E74" s="208"/>
      <c r="F74" s="246">
        <v>8400</v>
      </c>
    </row>
    <row r="75" spans="1:6" s="51" customFormat="1" ht="31.5" customHeight="1">
      <c r="A75" s="244"/>
      <c r="B75" s="205">
        <v>43095</v>
      </c>
      <c r="C75" s="206" t="s">
        <v>121</v>
      </c>
      <c r="D75" s="207"/>
      <c r="E75" s="208"/>
      <c r="F75" s="246">
        <v>2950</v>
      </c>
    </row>
    <row r="76" spans="1:6" s="51" customFormat="1" ht="31.5" customHeight="1">
      <c r="A76" s="244"/>
      <c r="B76" s="205">
        <v>43098</v>
      </c>
      <c r="C76" s="206" t="s">
        <v>121</v>
      </c>
      <c r="D76" s="207"/>
      <c r="E76" s="208"/>
      <c r="F76" s="246">
        <v>2950</v>
      </c>
    </row>
    <row r="77" spans="1:6" s="51" customFormat="1" ht="15.75" customHeight="1">
      <c r="A77" s="244"/>
      <c r="B77" s="205">
        <v>42944</v>
      </c>
      <c r="C77" s="229" t="s">
        <v>123</v>
      </c>
      <c r="D77" s="230"/>
      <c r="E77" s="231"/>
      <c r="F77" s="232">
        <v>740</v>
      </c>
    </row>
    <row r="78" spans="1:6" s="51" customFormat="1" ht="15.75" customHeight="1">
      <c r="A78" s="244"/>
      <c r="B78" s="205">
        <v>42995</v>
      </c>
      <c r="C78" s="229" t="s">
        <v>124</v>
      </c>
      <c r="D78" s="230"/>
      <c r="E78" s="231"/>
      <c r="F78" s="232">
        <v>690</v>
      </c>
    </row>
    <row r="79" spans="1:6" s="51" customFormat="1" ht="15.75">
      <c r="A79" s="210"/>
      <c r="B79" s="205">
        <v>43037</v>
      </c>
      <c r="C79" s="229" t="s">
        <v>125</v>
      </c>
      <c r="D79" s="230"/>
      <c r="E79" s="231"/>
      <c r="F79" s="212">
        <v>2200</v>
      </c>
    </row>
    <row r="80" spans="1:6" s="51" customFormat="1" ht="15.75" customHeight="1">
      <c r="A80" s="216"/>
      <c r="B80" s="217"/>
      <c r="C80" s="218"/>
      <c r="D80" s="219"/>
      <c r="E80" s="220"/>
      <c r="F80" s="221"/>
    </row>
    <row r="81" spans="1:6" s="51" customFormat="1" ht="15.75">
      <c r="A81" s="222" t="s">
        <v>42</v>
      </c>
      <c r="B81" s="222"/>
      <c r="C81" s="222"/>
      <c r="D81" s="222"/>
      <c r="E81" s="222"/>
      <c r="F81" s="223">
        <f>SUM(F40:F80)</f>
        <v>112754</v>
      </c>
    </row>
    <row r="82" spans="1:6" s="51" customFormat="1" ht="28.5" customHeight="1">
      <c r="A82" s="224"/>
      <c r="B82" s="225"/>
      <c r="C82" s="226"/>
      <c r="D82" s="226"/>
      <c r="E82" s="226"/>
      <c r="F82" s="227"/>
    </row>
    <row r="83" spans="1:6" s="51" customFormat="1" ht="28.5" customHeight="1">
      <c r="A83" s="224"/>
      <c r="B83" s="225"/>
      <c r="C83" s="228"/>
      <c r="D83" s="228"/>
      <c r="E83" s="228"/>
      <c r="F83" s="227"/>
    </row>
    <row r="84" spans="1:6" ht="15.75">
      <c r="A84" s="224"/>
      <c r="B84" s="233"/>
      <c r="C84" s="224"/>
      <c r="D84" s="224"/>
      <c r="E84" s="224"/>
      <c r="F84" s="224"/>
    </row>
    <row r="85" spans="1:6" ht="15.75">
      <c r="A85" s="224"/>
      <c r="B85" s="233"/>
      <c r="C85" s="224"/>
      <c r="D85" s="224"/>
      <c r="E85" s="224"/>
      <c r="F85" s="224"/>
    </row>
  </sheetData>
  <sheetProtection/>
  <mergeCells count="64">
    <mergeCell ref="C40:E40"/>
    <mergeCell ref="B31:E31"/>
    <mergeCell ref="B32:E32"/>
    <mergeCell ref="C77:E77"/>
    <mergeCell ref="C78:E78"/>
    <mergeCell ref="C79:E79"/>
    <mergeCell ref="C71:E71"/>
    <mergeCell ref="C72:E72"/>
    <mergeCell ref="C73:E73"/>
    <mergeCell ref="C74:E74"/>
    <mergeCell ref="C75:E75"/>
    <mergeCell ref="C76:E76"/>
    <mergeCell ref="C66:E66"/>
    <mergeCell ref="C67:E67"/>
    <mergeCell ref="C68:E68"/>
    <mergeCell ref="C69:E69"/>
    <mergeCell ref="C70:E70"/>
    <mergeCell ref="A81:E81"/>
    <mergeCell ref="C62:E62"/>
    <mergeCell ref="C63:E63"/>
    <mergeCell ref="C64:E64"/>
    <mergeCell ref="C65:E65"/>
    <mergeCell ref="A1:F1"/>
    <mergeCell ref="A2:F2"/>
    <mergeCell ref="B4:G4"/>
    <mergeCell ref="B5:G5"/>
    <mergeCell ref="A19:F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3:E33"/>
    <mergeCell ref="A35:E35"/>
    <mergeCell ref="A36:E36"/>
    <mergeCell ref="C39:E39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80:E80"/>
    <mergeCell ref="C82:E82"/>
    <mergeCell ref="C57:E57"/>
    <mergeCell ref="C58:E58"/>
    <mergeCell ref="C59:E59"/>
    <mergeCell ref="C60:E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2"/>
  <sheetViews>
    <sheetView view="pageBreakPreview" zoomScaleSheetLayoutView="100" zoomScalePageLayoutView="0" workbookViewId="0" topLeftCell="A15">
      <selection activeCell="F23" sqref="F23"/>
    </sheetView>
  </sheetViews>
  <sheetFormatPr defaultColWidth="9.140625" defaultRowHeight="12.75" outlineLevelRow="2"/>
  <cols>
    <col min="1" max="1" width="4.421875" style="57" customWidth="1"/>
    <col min="2" max="2" width="15.140625" style="54" customWidth="1"/>
    <col min="3" max="3" width="16.00390625" style="54" customWidth="1"/>
    <col min="4" max="4" width="13.57421875" style="54" customWidth="1"/>
    <col min="5" max="5" width="14.00390625" style="54" customWidth="1"/>
    <col min="6" max="6" width="18.140625" style="54" customWidth="1"/>
    <col min="7" max="7" width="11.00390625" style="54" customWidth="1"/>
    <col min="8" max="8" width="9.140625" style="54" customWidth="1"/>
    <col min="9" max="9" width="11.140625" style="54" customWidth="1"/>
    <col min="10" max="10" width="11.00390625" style="54" customWidth="1"/>
    <col min="11" max="11" width="9.8515625" style="54" customWidth="1"/>
    <col min="12" max="16384" width="9.140625" style="54" customWidth="1"/>
  </cols>
  <sheetData>
    <row r="1" spans="1:7" ht="15.75">
      <c r="A1" s="145" t="s">
        <v>75</v>
      </c>
      <c r="B1" s="145"/>
      <c r="C1" s="145"/>
      <c r="D1" s="145"/>
      <c r="E1" s="145"/>
      <c r="F1" s="145"/>
      <c r="G1" s="53"/>
    </row>
    <row r="2" spans="1:8" ht="15.75">
      <c r="A2" s="145" t="s">
        <v>0</v>
      </c>
      <c r="B2" s="145"/>
      <c r="C2" s="145"/>
      <c r="D2" s="145"/>
      <c r="E2" s="145"/>
      <c r="F2" s="145"/>
      <c r="G2" s="55"/>
      <c r="H2" s="56"/>
    </row>
    <row r="3" ht="9" customHeight="1"/>
    <row r="4" spans="2:7" ht="15.75" hidden="1" outlineLevel="2">
      <c r="B4" s="146" t="s">
        <v>16</v>
      </c>
      <c r="C4" s="146"/>
      <c r="D4" s="146"/>
      <c r="E4" s="146"/>
      <c r="F4" s="146"/>
      <c r="G4" s="146"/>
    </row>
    <row r="5" spans="2:7" ht="15.75" hidden="1" outlineLevel="2">
      <c r="B5" s="146" t="s">
        <v>1</v>
      </c>
      <c r="C5" s="146"/>
      <c r="D5" s="146"/>
      <c r="E5" s="146"/>
      <c r="F5" s="146"/>
      <c r="G5" s="146"/>
    </row>
    <row r="6" ht="9" customHeight="1" outlineLevel="1" collapsed="1"/>
    <row r="7" spans="1:5" ht="15.75" outlineLevel="1">
      <c r="A7" s="55"/>
      <c r="B7" s="55"/>
      <c r="C7" s="55"/>
      <c r="D7" s="73"/>
      <c r="E7" s="55"/>
    </row>
    <row r="8" spans="1:6" ht="15.75" outlineLevel="1">
      <c r="A8" s="55" t="s">
        <v>77</v>
      </c>
      <c r="C8" s="58"/>
      <c r="D8" s="74">
        <f>'2015  (с марта)'!F29</f>
        <v>27684.22</v>
      </c>
      <c r="E8" s="58" t="s">
        <v>23</v>
      </c>
      <c r="F8" s="58"/>
    </row>
    <row r="9" spans="1:6" ht="15.75" outlineLevel="1">
      <c r="A9" s="55" t="s">
        <v>76</v>
      </c>
      <c r="C9" s="58"/>
      <c r="D9" s="74">
        <f>C14</f>
        <v>-59732.579999999994</v>
      </c>
      <c r="E9" s="58" t="s">
        <v>23</v>
      </c>
      <c r="F9" s="58"/>
    </row>
    <row r="10" spans="2:6" ht="15.75" outlineLevel="1">
      <c r="B10" s="58"/>
      <c r="C10" s="58"/>
      <c r="D10" s="58"/>
      <c r="E10" s="58"/>
      <c r="F10" s="59" t="s">
        <v>23</v>
      </c>
    </row>
    <row r="11" spans="2:6" s="57" customFormat="1" ht="28.5" customHeight="1" outlineLevel="1">
      <c r="B11" s="75" t="s">
        <v>56</v>
      </c>
      <c r="C11" s="76" t="s">
        <v>106</v>
      </c>
      <c r="D11" s="76" t="s">
        <v>2</v>
      </c>
      <c r="E11" s="76" t="s">
        <v>22</v>
      </c>
      <c r="F11" s="76" t="s">
        <v>107</v>
      </c>
    </row>
    <row r="12" spans="2:9" ht="35.25" customHeight="1" outlineLevel="1">
      <c r="B12" s="77" t="s">
        <v>37</v>
      </c>
      <c r="C12" s="78">
        <f>'2015  (с марта)'!F11</f>
        <v>-51308.03</v>
      </c>
      <c r="D12" s="79">
        <f>261231.2-46015.34+23748.3+41431.32</f>
        <v>280395.48</v>
      </c>
      <c r="E12" s="79">
        <v>266523.89</v>
      </c>
      <c r="F12" s="79">
        <f>C12-D12+E12</f>
        <v>-65179.619999999995</v>
      </c>
      <c r="G12" s="51" t="s">
        <v>63</v>
      </c>
      <c r="H12" s="51">
        <v>8.77</v>
      </c>
      <c r="I12" s="81">
        <f>H12*12*I22</f>
        <v>284737.344</v>
      </c>
    </row>
    <row r="13" spans="2:9" ht="45.75" customHeight="1" outlineLevel="1">
      <c r="B13" s="77" t="s">
        <v>18</v>
      </c>
      <c r="C13" s="78">
        <f>'2015  (с марта)'!F12</f>
        <v>-8424.549999999996</v>
      </c>
      <c r="D13" s="79">
        <f>42893.07+3899.37</f>
        <v>46792.44</v>
      </c>
      <c r="E13" s="79">
        <v>44511.06</v>
      </c>
      <c r="F13" s="79">
        <f>C13-D13+E13</f>
        <v>-10705.93</v>
      </c>
      <c r="G13" s="82" t="s">
        <v>64</v>
      </c>
      <c r="H13" s="51">
        <v>1.81</v>
      </c>
      <c r="I13" s="83">
        <f>H13*12*I22</f>
        <v>58765.632</v>
      </c>
    </row>
    <row r="14" spans="2:9" ht="33.75" customHeight="1" outlineLevel="1">
      <c r="B14" s="77" t="s">
        <v>3</v>
      </c>
      <c r="C14" s="78">
        <f>SUM(C12:C13)</f>
        <v>-59732.579999999994</v>
      </c>
      <c r="D14" s="79">
        <f>SUM(D12:D13)</f>
        <v>327187.92</v>
      </c>
      <c r="E14" s="79">
        <f>SUM(E12:E13)</f>
        <v>311034.95</v>
      </c>
      <c r="F14" s="79">
        <f>SUM(F12:F13)</f>
        <v>-75885.54999999999</v>
      </c>
      <c r="G14" s="82" t="s">
        <v>65</v>
      </c>
      <c r="H14" s="51">
        <v>2.29</v>
      </c>
      <c r="I14" s="83">
        <f>H14*12*I22</f>
        <v>74349.88799999999</v>
      </c>
    </row>
    <row r="15" spans="7:9" ht="26.25" customHeight="1" outlineLevel="1">
      <c r="G15" s="51"/>
      <c r="H15" s="51"/>
      <c r="I15" s="81"/>
    </row>
    <row r="16" spans="2:6" ht="11.25" customHeight="1">
      <c r="B16" s="53"/>
      <c r="C16" s="53"/>
      <c r="D16" s="53"/>
      <c r="E16" s="53"/>
      <c r="F16" s="53"/>
    </row>
    <row r="17" spans="1:6" ht="15.75">
      <c r="A17" s="147" t="s">
        <v>36</v>
      </c>
      <c r="B17" s="147"/>
      <c r="C17" s="147"/>
      <c r="D17" s="147"/>
      <c r="E17" s="147"/>
      <c r="F17" s="147"/>
    </row>
    <row r="18" spans="1:6" ht="31.5">
      <c r="A18" s="61" t="s">
        <v>53</v>
      </c>
      <c r="B18" s="148" t="s">
        <v>66</v>
      </c>
      <c r="C18" s="148"/>
      <c r="D18" s="148"/>
      <c r="E18" s="148"/>
      <c r="F18" s="62" t="s">
        <v>5</v>
      </c>
    </row>
    <row r="19" spans="1:7" ht="15.75">
      <c r="A19" s="61">
        <v>1</v>
      </c>
      <c r="B19" s="144" t="s">
        <v>7</v>
      </c>
      <c r="C19" s="144"/>
      <c r="D19" s="144"/>
      <c r="E19" s="144"/>
      <c r="F19" s="109">
        <f>I13</f>
        <v>58765.632</v>
      </c>
      <c r="G19" s="63"/>
    </row>
    <row r="20" spans="1:9" ht="18" customHeight="1">
      <c r="A20" s="110">
        <v>2</v>
      </c>
      <c r="B20" s="136" t="s">
        <v>78</v>
      </c>
      <c r="C20" s="136"/>
      <c r="D20" s="136"/>
      <c r="E20" s="136"/>
      <c r="F20" s="111">
        <f>900*12</f>
        <v>10800</v>
      </c>
      <c r="G20" s="58"/>
      <c r="I20" s="54" t="s">
        <v>74</v>
      </c>
    </row>
    <row r="21" spans="1:9" ht="18" customHeight="1">
      <c r="A21" s="110">
        <v>3</v>
      </c>
      <c r="B21" s="136" t="s">
        <v>59</v>
      </c>
      <c r="C21" s="136"/>
      <c r="D21" s="136"/>
      <c r="E21" s="136"/>
      <c r="F21" s="111">
        <f>I14</f>
        <v>74349.88799999999</v>
      </c>
      <c r="G21" s="80"/>
      <c r="I21" s="54" t="s">
        <v>47</v>
      </c>
    </row>
    <row r="22" spans="1:9" ht="18" customHeight="1">
      <c r="A22" s="110">
        <v>4</v>
      </c>
      <c r="B22" s="136" t="s">
        <v>12</v>
      </c>
      <c r="C22" s="136"/>
      <c r="D22" s="136"/>
      <c r="E22" s="136"/>
      <c r="F22" s="111">
        <f>F23+F24+F26+F25+F27</f>
        <v>91151</v>
      </c>
      <c r="G22" s="58"/>
      <c r="I22" s="54">
        <v>2705.6</v>
      </c>
    </row>
    <row r="23" spans="1:11" ht="18" customHeight="1">
      <c r="A23" s="110" t="s">
        <v>13</v>
      </c>
      <c r="B23" s="136" t="s">
        <v>19</v>
      </c>
      <c r="C23" s="136"/>
      <c r="D23" s="136"/>
      <c r="E23" s="136"/>
      <c r="F23" s="111">
        <f>F37+F38+F40+F41+F42+F45+F47+F52+F53+F54+F55+F58+F59+F60+F61</f>
        <v>36557</v>
      </c>
      <c r="G23" s="58"/>
      <c r="I23" s="54" t="s">
        <v>48</v>
      </c>
      <c r="J23" s="68" t="s">
        <v>49</v>
      </c>
      <c r="K23" s="68"/>
    </row>
    <row r="24" spans="1:11" ht="15.75">
      <c r="A24" s="110" t="s">
        <v>13</v>
      </c>
      <c r="B24" s="136" t="s">
        <v>20</v>
      </c>
      <c r="C24" s="136"/>
      <c r="D24" s="136"/>
      <c r="E24" s="136"/>
      <c r="F24" s="111">
        <f>F44+F46+F49</f>
        <v>11170</v>
      </c>
      <c r="G24" s="80">
        <f>F62</f>
        <v>91151</v>
      </c>
      <c r="J24" s="48">
        <f>8734.94/(2791.5+2707.9)*I22</f>
        <v>4297.424021529621</v>
      </c>
      <c r="K24" s="48"/>
    </row>
    <row r="25" spans="1:11" ht="15.75">
      <c r="A25" s="110" t="s">
        <v>13</v>
      </c>
      <c r="B25" s="136" t="s">
        <v>21</v>
      </c>
      <c r="C25" s="136"/>
      <c r="D25" s="136"/>
      <c r="E25" s="136"/>
      <c r="F25" s="111">
        <f>F48+F50+F51+F56</f>
        <v>37589</v>
      </c>
      <c r="G25" s="58"/>
      <c r="J25" s="48">
        <f>J24*12</f>
        <v>51569.088258355456</v>
      </c>
      <c r="K25" s="48"/>
    </row>
    <row r="26" spans="1:7" ht="15.75">
      <c r="A26" s="110" t="s">
        <v>13</v>
      </c>
      <c r="B26" s="136" t="s">
        <v>67</v>
      </c>
      <c r="C26" s="136"/>
      <c r="D26" s="136"/>
      <c r="E26" s="136"/>
      <c r="F26" s="111">
        <f>F36</f>
        <v>2040</v>
      </c>
      <c r="G26" s="58"/>
    </row>
    <row r="27" spans="1:7" ht="15.75">
      <c r="A27" s="110" t="s">
        <v>13</v>
      </c>
      <c r="B27" s="136" t="s">
        <v>98</v>
      </c>
      <c r="C27" s="136"/>
      <c r="D27" s="136"/>
      <c r="E27" s="136"/>
      <c r="F27" s="111">
        <f>F39+F43+F57</f>
        <v>3795</v>
      </c>
      <c r="G27" s="58"/>
    </row>
    <row r="28" spans="1:7" ht="15.75">
      <c r="A28" s="110">
        <v>5</v>
      </c>
      <c r="B28" s="137" t="s">
        <v>73</v>
      </c>
      <c r="C28" s="138"/>
      <c r="D28" s="138"/>
      <c r="E28" s="139"/>
      <c r="F28" s="111">
        <v>0</v>
      </c>
      <c r="G28" s="58"/>
    </row>
    <row r="29" spans="1:7" s="71" customFormat="1" ht="15.75">
      <c r="A29" s="112" t="s">
        <v>13</v>
      </c>
      <c r="B29" s="140" t="s">
        <v>14</v>
      </c>
      <c r="C29" s="140"/>
      <c r="D29" s="140"/>
      <c r="E29" s="140"/>
      <c r="F29" s="113">
        <f>F19+F20+F21+F22+F28</f>
        <v>235066.52</v>
      </c>
      <c r="G29" s="55"/>
    </row>
    <row r="30" spans="1:7" s="71" customFormat="1" ht="15.75">
      <c r="A30" s="108"/>
      <c r="B30" s="54"/>
      <c r="C30" s="54"/>
      <c r="D30" s="54"/>
      <c r="E30" s="54"/>
      <c r="F30" s="54"/>
      <c r="G30" s="55"/>
    </row>
    <row r="31" spans="1:6" ht="18" customHeight="1">
      <c r="A31" s="141" t="s">
        <v>79</v>
      </c>
      <c r="B31" s="142"/>
      <c r="C31" s="142"/>
      <c r="D31" s="142"/>
      <c r="E31" s="143"/>
      <c r="F31" s="60">
        <f>D14-F29+D8</f>
        <v>119805.62</v>
      </c>
    </row>
    <row r="32" spans="1:6" ht="20.25" customHeight="1">
      <c r="A32" s="130" t="s">
        <v>80</v>
      </c>
      <c r="B32" s="131"/>
      <c r="C32" s="131"/>
      <c r="D32" s="131"/>
      <c r="E32" s="132"/>
      <c r="F32" s="103">
        <f>F14</f>
        <v>-75885.54999999999</v>
      </c>
    </row>
    <row r="33" spans="1:6" s="51" customFormat="1" ht="18" customHeight="1" hidden="1" outlineLevel="1">
      <c r="A33" s="98" t="s">
        <v>52</v>
      </c>
      <c r="B33" s="68"/>
      <c r="C33" s="68"/>
      <c r="D33" s="68"/>
      <c r="E33" s="68"/>
      <c r="F33" s="99">
        <f>F31+F32</f>
        <v>43920.07000000001</v>
      </c>
    </row>
    <row r="34" ht="18" customHeight="1" collapsed="1"/>
    <row r="35" spans="1:6" ht="15.75">
      <c r="A35" s="52" t="s">
        <v>29</v>
      </c>
      <c r="B35" s="52" t="s">
        <v>15</v>
      </c>
      <c r="C35" s="133" t="s">
        <v>27</v>
      </c>
      <c r="D35" s="134"/>
      <c r="E35" s="135"/>
      <c r="F35" s="52" t="s">
        <v>28</v>
      </c>
    </row>
    <row r="36" spans="1:6" ht="15.75">
      <c r="A36" s="75">
        <v>1</v>
      </c>
      <c r="B36" s="84" t="s">
        <v>61</v>
      </c>
      <c r="C36" s="123" t="s">
        <v>97</v>
      </c>
      <c r="D36" s="124"/>
      <c r="E36" s="125"/>
      <c r="F36" s="85">
        <f>12*170</f>
        <v>2040</v>
      </c>
    </row>
    <row r="37" spans="1:6" ht="15.75">
      <c r="A37" s="75">
        <v>2</v>
      </c>
      <c r="B37" s="106">
        <v>42380</v>
      </c>
      <c r="C37" s="117" t="s">
        <v>81</v>
      </c>
      <c r="D37" s="118"/>
      <c r="E37" s="119"/>
      <c r="F37" s="114">
        <v>5337</v>
      </c>
    </row>
    <row r="38" spans="1:6" ht="15.75">
      <c r="A38" s="75">
        <v>3</v>
      </c>
      <c r="B38" s="106">
        <v>42406</v>
      </c>
      <c r="C38" s="117" t="s">
        <v>82</v>
      </c>
      <c r="D38" s="118"/>
      <c r="E38" s="119"/>
      <c r="F38" s="115">
        <v>1100</v>
      </c>
    </row>
    <row r="39" spans="1:6" ht="15.75">
      <c r="A39" s="75">
        <v>4</v>
      </c>
      <c r="B39" s="106">
        <v>42448</v>
      </c>
      <c r="C39" s="117" t="s">
        <v>83</v>
      </c>
      <c r="D39" s="118"/>
      <c r="E39" s="119"/>
      <c r="F39" s="104">
        <v>690</v>
      </c>
    </row>
    <row r="40" spans="1:6" ht="28.5" customHeight="1">
      <c r="A40" s="75">
        <v>5</v>
      </c>
      <c r="B40" s="106">
        <v>42450</v>
      </c>
      <c r="C40" s="123" t="s">
        <v>84</v>
      </c>
      <c r="D40" s="124"/>
      <c r="E40" s="125"/>
      <c r="F40" s="114">
        <v>654</v>
      </c>
    </row>
    <row r="41" spans="1:6" ht="28.5" customHeight="1">
      <c r="A41" s="75">
        <v>6</v>
      </c>
      <c r="B41" s="106">
        <v>42451</v>
      </c>
      <c r="C41" s="123" t="s">
        <v>84</v>
      </c>
      <c r="D41" s="124"/>
      <c r="E41" s="125"/>
      <c r="F41" s="115">
        <v>2593</v>
      </c>
    </row>
    <row r="42" spans="1:6" ht="15.75">
      <c r="A42" s="75">
        <v>7</v>
      </c>
      <c r="B42" s="106">
        <v>42549</v>
      </c>
      <c r="C42" s="117" t="s">
        <v>85</v>
      </c>
      <c r="D42" s="118"/>
      <c r="E42" s="119"/>
      <c r="F42" s="115">
        <v>2900</v>
      </c>
    </row>
    <row r="43" spans="1:6" ht="15.75">
      <c r="A43" s="75">
        <v>8</v>
      </c>
      <c r="B43" s="107">
        <v>42562</v>
      </c>
      <c r="C43" s="127" t="s">
        <v>83</v>
      </c>
      <c r="D43" s="128"/>
      <c r="E43" s="129"/>
      <c r="F43" s="105">
        <v>2139</v>
      </c>
    </row>
    <row r="44" spans="1:6" ht="15.75">
      <c r="A44" s="75">
        <v>9</v>
      </c>
      <c r="B44" s="106">
        <v>42563</v>
      </c>
      <c r="C44" s="120" t="s">
        <v>86</v>
      </c>
      <c r="D44" s="121"/>
      <c r="E44" s="122"/>
      <c r="F44" s="116">
        <v>2059</v>
      </c>
    </row>
    <row r="45" spans="1:6" ht="15.75">
      <c r="A45" s="75">
        <v>10</v>
      </c>
      <c r="B45" s="107">
        <v>42584</v>
      </c>
      <c r="C45" s="117" t="s">
        <v>85</v>
      </c>
      <c r="D45" s="118"/>
      <c r="E45" s="119"/>
      <c r="F45" s="114">
        <v>2050</v>
      </c>
    </row>
    <row r="46" spans="1:6" s="72" customFormat="1" ht="28.5" customHeight="1">
      <c r="A46" s="75">
        <v>11</v>
      </c>
      <c r="B46" s="106">
        <v>42591</v>
      </c>
      <c r="C46" s="117" t="s">
        <v>87</v>
      </c>
      <c r="D46" s="118"/>
      <c r="E46" s="119"/>
      <c r="F46" s="116">
        <v>8582</v>
      </c>
    </row>
    <row r="47" spans="1:6" s="72" customFormat="1" ht="15.75">
      <c r="A47" s="75">
        <v>12</v>
      </c>
      <c r="B47" s="106">
        <v>42608</v>
      </c>
      <c r="C47" s="117" t="s">
        <v>88</v>
      </c>
      <c r="D47" s="118"/>
      <c r="E47" s="119"/>
      <c r="F47" s="115">
        <v>4234</v>
      </c>
    </row>
    <row r="48" spans="1:6" ht="15.75">
      <c r="A48" s="75">
        <v>13</v>
      </c>
      <c r="B48" s="107">
        <v>42613</v>
      </c>
      <c r="C48" s="127" t="s">
        <v>89</v>
      </c>
      <c r="D48" s="128"/>
      <c r="E48" s="129"/>
      <c r="F48" s="105">
        <v>16300</v>
      </c>
    </row>
    <row r="49" spans="1:6" ht="15.75">
      <c r="A49" s="75">
        <v>14</v>
      </c>
      <c r="B49" s="106">
        <v>42642</v>
      </c>
      <c r="C49" s="117" t="s">
        <v>90</v>
      </c>
      <c r="D49" s="118"/>
      <c r="E49" s="119"/>
      <c r="F49" s="116">
        <v>529</v>
      </c>
    </row>
    <row r="50" spans="1:6" ht="28.5" customHeight="1">
      <c r="A50" s="75">
        <v>15</v>
      </c>
      <c r="B50" s="106">
        <v>42657</v>
      </c>
      <c r="C50" s="117" t="s">
        <v>91</v>
      </c>
      <c r="D50" s="118"/>
      <c r="E50" s="119"/>
      <c r="F50" s="104">
        <v>10588</v>
      </c>
    </row>
    <row r="51" spans="1:6" ht="28.5" customHeight="1">
      <c r="A51" s="75">
        <v>16</v>
      </c>
      <c r="B51" s="106">
        <v>42668</v>
      </c>
      <c r="C51" s="117" t="s">
        <v>91</v>
      </c>
      <c r="D51" s="118"/>
      <c r="E51" s="119"/>
      <c r="F51" s="104">
        <v>9930</v>
      </c>
    </row>
    <row r="52" spans="1:6" ht="28.5" customHeight="1">
      <c r="A52" s="75">
        <v>17</v>
      </c>
      <c r="B52" s="107">
        <v>42691</v>
      </c>
      <c r="C52" s="123" t="s">
        <v>84</v>
      </c>
      <c r="D52" s="124"/>
      <c r="E52" s="125"/>
      <c r="F52" s="114">
        <v>654</v>
      </c>
    </row>
    <row r="53" spans="1:6" ht="15.75">
      <c r="A53" s="75">
        <v>18</v>
      </c>
      <c r="B53" s="107">
        <v>42691</v>
      </c>
      <c r="C53" s="127" t="s">
        <v>92</v>
      </c>
      <c r="D53" s="128"/>
      <c r="E53" s="129"/>
      <c r="F53" s="114">
        <v>377</v>
      </c>
    </row>
    <row r="54" spans="1:6" ht="28.5" customHeight="1">
      <c r="A54" s="75">
        <v>19</v>
      </c>
      <c r="B54" s="106">
        <v>42692</v>
      </c>
      <c r="C54" s="123" t="s">
        <v>84</v>
      </c>
      <c r="D54" s="124"/>
      <c r="E54" s="125"/>
      <c r="F54" s="115">
        <v>654</v>
      </c>
    </row>
    <row r="55" spans="1:6" ht="15.75">
      <c r="A55" s="75">
        <v>20</v>
      </c>
      <c r="B55" s="106">
        <v>42698</v>
      </c>
      <c r="C55" s="117" t="s">
        <v>93</v>
      </c>
      <c r="D55" s="118"/>
      <c r="E55" s="119"/>
      <c r="F55" s="115">
        <v>2650</v>
      </c>
    </row>
    <row r="56" spans="1:6" ht="15.75">
      <c r="A56" s="75">
        <v>21</v>
      </c>
      <c r="B56" s="106">
        <v>42698</v>
      </c>
      <c r="C56" s="117" t="s">
        <v>94</v>
      </c>
      <c r="D56" s="118"/>
      <c r="E56" s="119"/>
      <c r="F56" s="104">
        <v>771</v>
      </c>
    </row>
    <row r="57" spans="1:6" ht="15.75">
      <c r="A57" s="75">
        <v>22</v>
      </c>
      <c r="B57" s="106">
        <v>42700</v>
      </c>
      <c r="C57" s="120" t="s">
        <v>83</v>
      </c>
      <c r="D57" s="121"/>
      <c r="E57" s="122"/>
      <c r="F57" s="104">
        <v>966</v>
      </c>
    </row>
    <row r="58" spans="1:6" ht="15.75">
      <c r="A58" s="75">
        <v>23</v>
      </c>
      <c r="B58" s="106">
        <v>42716</v>
      </c>
      <c r="C58" s="117" t="s">
        <v>93</v>
      </c>
      <c r="D58" s="118"/>
      <c r="E58" s="119"/>
      <c r="F58" s="115">
        <v>5300</v>
      </c>
    </row>
    <row r="59" spans="1:6" ht="15.75">
      <c r="A59" s="75">
        <v>24</v>
      </c>
      <c r="B59" s="106">
        <v>42717</v>
      </c>
      <c r="C59" s="120" t="s">
        <v>95</v>
      </c>
      <c r="D59" s="121"/>
      <c r="E59" s="122"/>
      <c r="F59" s="115">
        <v>1556</v>
      </c>
    </row>
    <row r="60" spans="1:6" s="72" customFormat="1" ht="28.5" customHeight="1">
      <c r="A60" s="75">
        <v>25</v>
      </c>
      <c r="B60" s="106">
        <v>42726</v>
      </c>
      <c r="C60" s="123" t="s">
        <v>84</v>
      </c>
      <c r="D60" s="124"/>
      <c r="E60" s="125"/>
      <c r="F60" s="115">
        <v>1308</v>
      </c>
    </row>
    <row r="61" spans="1:6" s="72" customFormat="1" ht="28.5" customHeight="1">
      <c r="A61" s="75">
        <v>26</v>
      </c>
      <c r="B61" s="106">
        <v>42732</v>
      </c>
      <c r="C61" s="117" t="s">
        <v>96</v>
      </c>
      <c r="D61" s="118"/>
      <c r="E61" s="119"/>
      <c r="F61" s="115">
        <v>5190</v>
      </c>
    </row>
    <row r="62" spans="1:6" ht="15.75">
      <c r="A62" s="126" t="s">
        <v>42</v>
      </c>
      <c r="B62" s="126"/>
      <c r="C62" s="126"/>
      <c r="D62" s="126"/>
      <c r="E62" s="126"/>
      <c r="F62" s="95">
        <f>SUM(F36:F61)</f>
        <v>91151</v>
      </c>
    </row>
  </sheetData>
  <sheetProtection selectLockedCells="1" selectUnlockedCells="1"/>
  <mergeCells count="47">
    <mergeCell ref="C46:E46"/>
    <mergeCell ref="C47:E47"/>
    <mergeCell ref="C48:E48"/>
    <mergeCell ref="C49:E49"/>
    <mergeCell ref="B27:E27"/>
    <mergeCell ref="C41:E41"/>
    <mergeCell ref="C42:E42"/>
    <mergeCell ref="C43:E43"/>
    <mergeCell ref="C44:E44"/>
    <mergeCell ref="C45:E45"/>
    <mergeCell ref="A62:E62"/>
    <mergeCell ref="C54:E54"/>
    <mergeCell ref="A31:E31"/>
    <mergeCell ref="A32:E32"/>
    <mergeCell ref="C37:E37"/>
    <mergeCell ref="C38:E38"/>
    <mergeCell ref="C39:E39"/>
    <mergeCell ref="C40:E40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5:E55"/>
    <mergeCell ref="C56:E56"/>
    <mergeCell ref="B25:E25"/>
    <mergeCell ref="B26:E26"/>
    <mergeCell ref="B28:E28"/>
    <mergeCell ref="B29:E29"/>
    <mergeCell ref="C35:E35"/>
    <mergeCell ref="C36:E36"/>
    <mergeCell ref="B19:E19"/>
    <mergeCell ref="B20:E20"/>
    <mergeCell ref="B21:E21"/>
    <mergeCell ref="B22:E22"/>
    <mergeCell ref="B23:E23"/>
    <mergeCell ref="B24:E24"/>
    <mergeCell ref="A1:F1"/>
    <mergeCell ref="A2:F2"/>
    <mergeCell ref="B4:G4"/>
    <mergeCell ref="B5:G5"/>
    <mergeCell ref="A17:F17"/>
    <mergeCell ref="B18:E18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BreakPreview" zoomScaleSheetLayoutView="100" zoomScalePageLayoutView="0" workbookViewId="0" topLeftCell="A21">
      <selection activeCell="F22" sqref="F22"/>
    </sheetView>
  </sheetViews>
  <sheetFormatPr defaultColWidth="9.140625" defaultRowHeight="12.75" outlineLevelRow="2"/>
  <cols>
    <col min="1" max="1" width="4.421875" style="57" customWidth="1"/>
    <col min="2" max="2" width="15.140625" style="54" customWidth="1"/>
    <col min="3" max="3" width="14.7109375" style="54" customWidth="1"/>
    <col min="4" max="4" width="13.57421875" style="54" customWidth="1"/>
    <col min="5" max="5" width="14.00390625" style="54" customWidth="1"/>
    <col min="6" max="6" width="18.140625" style="54" customWidth="1"/>
    <col min="7" max="7" width="11.00390625" style="54" customWidth="1"/>
    <col min="8" max="8" width="9.140625" style="54" customWidth="1"/>
    <col min="9" max="9" width="11.140625" style="54" customWidth="1"/>
    <col min="10" max="10" width="11.00390625" style="54" customWidth="1"/>
    <col min="11" max="11" width="9.8515625" style="54" customWidth="1"/>
    <col min="12" max="16384" width="9.140625" style="54" customWidth="1"/>
  </cols>
  <sheetData>
    <row r="1" spans="1:7" ht="15.75">
      <c r="A1" s="145" t="s">
        <v>51</v>
      </c>
      <c r="B1" s="145"/>
      <c r="C1" s="145"/>
      <c r="D1" s="145"/>
      <c r="E1" s="145"/>
      <c r="F1" s="145"/>
      <c r="G1" s="53"/>
    </row>
    <row r="2" spans="1:8" ht="15.75">
      <c r="A2" s="145" t="s">
        <v>0</v>
      </c>
      <c r="B2" s="145"/>
      <c r="C2" s="145"/>
      <c r="D2" s="145"/>
      <c r="E2" s="145"/>
      <c r="F2" s="145"/>
      <c r="G2" s="55"/>
      <c r="H2" s="56"/>
    </row>
    <row r="3" ht="9" customHeight="1"/>
    <row r="4" spans="2:7" ht="15.75" hidden="1" outlineLevel="2">
      <c r="B4" s="146" t="s">
        <v>16</v>
      </c>
      <c r="C4" s="146"/>
      <c r="D4" s="146"/>
      <c r="E4" s="146"/>
      <c r="F4" s="146"/>
      <c r="G4" s="146"/>
    </row>
    <row r="5" spans="2:7" ht="15.75" hidden="1" outlineLevel="2">
      <c r="B5" s="146" t="s">
        <v>1</v>
      </c>
      <c r="C5" s="146"/>
      <c r="D5" s="146"/>
      <c r="E5" s="146"/>
      <c r="F5" s="146"/>
      <c r="G5" s="146"/>
    </row>
    <row r="6" ht="9" customHeight="1" outlineLevel="1" collapsed="1"/>
    <row r="7" spans="1:5" ht="15.75" outlineLevel="1">
      <c r="A7" s="55"/>
      <c r="B7" s="55"/>
      <c r="C7" s="55"/>
      <c r="D7" s="73"/>
      <c r="E7" s="55"/>
    </row>
    <row r="8" spans="1:6" ht="15.75" outlineLevel="1">
      <c r="A8" s="55" t="s">
        <v>54</v>
      </c>
      <c r="C8" s="58"/>
      <c r="D8" s="74">
        <v>0</v>
      </c>
      <c r="E8" s="58" t="s">
        <v>23</v>
      </c>
      <c r="F8" s="58"/>
    </row>
    <row r="9" spans="2:6" ht="15.75" outlineLevel="1">
      <c r="B9" s="58"/>
      <c r="C9" s="58"/>
      <c r="D9" s="58"/>
      <c r="E9" s="58"/>
      <c r="F9" s="59" t="s">
        <v>23</v>
      </c>
    </row>
    <row r="10" spans="2:6" s="57" customFormat="1" ht="28.5" customHeight="1" outlineLevel="1">
      <c r="B10" s="75" t="s">
        <v>56</v>
      </c>
      <c r="C10" s="76" t="s">
        <v>55</v>
      </c>
      <c r="D10" s="76" t="s">
        <v>2</v>
      </c>
      <c r="E10" s="76" t="s">
        <v>22</v>
      </c>
      <c r="F10" s="76" t="s">
        <v>57</v>
      </c>
    </row>
    <row r="11" spans="2:9" ht="35.25" customHeight="1" outlineLevel="1">
      <c r="B11" s="77" t="s">
        <v>37</v>
      </c>
      <c r="C11" s="78">
        <v>0</v>
      </c>
      <c r="D11" s="79">
        <v>237482.92</v>
      </c>
      <c r="E11" s="79">
        <v>186174.89</v>
      </c>
      <c r="F11" s="79">
        <f>E11-D11</f>
        <v>-51308.03</v>
      </c>
      <c r="G11" s="51" t="s">
        <v>63</v>
      </c>
      <c r="H11" s="51">
        <v>8.77</v>
      </c>
      <c r="I11" s="81">
        <f>H11*10*I21</f>
        <v>237482.83</v>
      </c>
    </row>
    <row r="12" spans="2:9" ht="45.75" customHeight="1" outlineLevel="1">
      <c r="B12" s="77" t="s">
        <v>18</v>
      </c>
      <c r="C12" s="78">
        <v>0</v>
      </c>
      <c r="D12" s="79">
        <v>38993.7</v>
      </c>
      <c r="E12" s="79">
        <v>30569.15</v>
      </c>
      <c r="F12" s="79">
        <f>E12-D12</f>
        <v>-8424.549999999996</v>
      </c>
      <c r="G12" s="82" t="s">
        <v>64</v>
      </c>
      <c r="H12" s="51">
        <v>1.81</v>
      </c>
      <c r="I12" s="83">
        <f>H12*10*I21</f>
        <v>49012.990000000005</v>
      </c>
    </row>
    <row r="13" spans="2:9" ht="33.75" customHeight="1" outlineLevel="1">
      <c r="B13" s="77" t="s">
        <v>3</v>
      </c>
      <c r="C13" s="78">
        <f>SUM(C11:C12)</f>
        <v>0</v>
      </c>
      <c r="D13" s="79">
        <f>SUM(D11:D12)</f>
        <v>276476.62</v>
      </c>
      <c r="E13" s="79">
        <f>SUM(E11:E12)</f>
        <v>216744.04</v>
      </c>
      <c r="F13" s="79">
        <f>SUM(F11:F12)</f>
        <v>-59732.579999999994</v>
      </c>
      <c r="G13" s="82" t="s">
        <v>65</v>
      </c>
      <c r="H13" s="51">
        <v>2.29</v>
      </c>
      <c r="I13" s="83">
        <f>H13*10*I21</f>
        <v>62010.909999999996</v>
      </c>
    </row>
    <row r="14" spans="7:9" ht="26.25" customHeight="1" outlineLevel="1">
      <c r="G14" s="51"/>
      <c r="H14" s="51"/>
      <c r="I14" s="81"/>
    </row>
    <row r="15" spans="2:6" ht="11.25" customHeight="1">
      <c r="B15" s="53"/>
      <c r="C15" s="53"/>
      <c r="D15" s="53"/>
      <c r="E15" s="53"/>
      <c r="F15" s="53"/>
    </row>
    <row r="16" spans="1:6" ht="15.75">
      <c r="A16" s="147" t="s">
        <v>36</v>
      </c>
      <c r="B16" s="147"/>
      <c r="C16" s="147"/>
      <c r="D16" s="147"/>
      <c r="E16" s="147"/>
      <c r="F16" s="147"/>
    </row>
    <row r="17" spans="1:6" ht="31.5">
      <c r="A17" s="61" t="s">
        <v>53</v>
      </c>
      <c r="B17" s="148" t="s">
        <v>66</v>
      </c>
      <c r="C17" s="148"/>
      <c r="D17" s="148"/>
      <c r="E17" s="148"/>
      <c r="F17" s="62" t="s">
        <v>5</v>
      </c>
    </row>
    <row r="18" spans="1:7" ht="15.75">
      <c r="A18" s="61">
        <v>1</v>
      </c>
      <c r="B18" s="144" t="s">
        <v>7</v>
      </c>
      <c r="C18" s="144"/>
      <c r="D18" s="144"/>
      <c r="E18" s="144"/>
      <c r="F18" s="64">
        <f>I12</f>
        <v>49012.990000000005</v>
      </c>
      <c r="G18" s="63"/>
    </row>
    <row r="19" spans="1:13" ht="18" customHeight="1">
      <c r="A19" s="66">
        <v>2</v>
      </c>
      <c r="B19" s="136" t="s">
        <v>58</v>
      </c>
      <c r="C19" s="136"/>
      <c r="D19" s="136"/>
      <c r="E19" s="136"/>
      <c r="F19" s="67">
        <f>530*3</f>
        <v>1590</v>
      </c>
      <c r="G19" s="65"/>
      <c r="I19" s="54" t="s">
        <v>45</v>
      </c>
      <c r="L19" s="54">
        <v>530</v>
      </c>
      <c r="M19" s="54" t="s">
        <v>46</v>
      </c>
    </row>
    <row r="20" spans="1:9" ht="18" customHeight="1">
      <c r="A20" s="66">
        <v>3</v>
      </c>
      <c r="B20" s="136" t="s">
        <v>59</v>
      </c>
      <c r="C20" s="136"/>
      <c r="D20" s="136"/>
      <c r="E20" s="136"/>
      <c r="F20" s="67">
        <f>I13</f>
        <v>62010.909999999996</v>
      </c>
      <c r="G20" s="100">
        <f>J24-F20</f>
        <v>-10397.983442193676</v>
      </c>
      <c r="I20" s="54" t="s">
        <v>47</v>
      </c>
    </row>
    <row r="21" spans="1:9" ht="18" customHeight="1">
      <c r="A21" s="66">
        <v>4</v>
      </c>
      <c r="B21" s="136" t="s">
        <v>12</v>
      </c>
      <c r="C21" s="136"/>
      <c r="D21" s="136"/>
      <c r="E21" s="136"/>
      <c r="F21" s="67">
        <f>F22+F23+F25+F24</f>
        <v>135637</v>
      </c>
      <c r="G21" s="65"/>
      <c r="I21" s="54">
        <v>2707.9</v>
      </c>
    </row>
    <row r="22" spans="1:11" ht="18" customHeight="1">
      <c r="A22" s="66" t="s">
        <v>13</v>
      </c>
      <c r="B22" s="136" t="s">
        <v>19</v>
      </c>
      <c r="C22" s="136"/>
      <c r="D22" s="136"/>
      <c r="E22" s="136"/>
      <c r="F22" s="60">
        <f>F35+F36+F37+F39+F40+F41+F42+F43+F44+F46</f>
        <v>52040</v>
      </c>
      <c r="G22" s="65"/>
      <c r="I22" s="54" t="s">
        <v>48</v>
      </c>
      <c r="J22" s="68" t="s">
        <v>49</v>
      </c>
      <c r="K22" s="68"/>
    </row>
    <row r="23" spans="1:11" ht="15.75">
      <c r="A23" s="66" t="s">
        <v>13</v>
      </c>
      <c r="B23" s="136" t="s">
        <v>20</v>
      </c>
      <c r="C23" s="136"/>
      <c r="D23" s="136"/>
      <c r="E23" s="136"/>
      <c r="F23" s="60">
        <f>F38</f>
        <v>1555</v>
      </c>
      <c r="G23" s="80">
        <f>F50</f>
        <v>135637</v>
      </c>
      <c r="J23" s="48">
        <f>8734.94/(2791.5+2707.9)*I21</f>
        <v>4301.077213150526</v>
      </c>
      <c r="K23" s="48"/>
    </row>
    <row r="24" spans="1:11" ht="15.75">
      <c r="A24" s="66" t="s">
        <v>13</v>
      </c>
      <c r="B24" s="136" t="s">
        <v>21</v>
      </c>
      <c r="C24" s="136"/>
      <c r="D24" s="136"/>
      <c r="E24" s="136"/>
      <c r="F24" s="60">
        <f>F45+F48+F47+F49</f>
        <v>78462</v>
      </c>
      <c r="G24" s="58"/>
      <c r="J24" s="48">
        <f>J23*12</f>
        <v>51612.92655780632</v>
      </c>
      <c r="K24" s="48"/>
    </row>
    <row r="25" spans="1:7" ht="15.75">
      <c r="A25" s="66" t="s">
        <v>13</v>
      </c>
      <c r="B25" s="136" t="s">
        <v>67</v>
      </c>
      <c r="C25" s="136"/>
      <c r="D25" s="136"/>
      <c r="E25" s="136"/>
      <c r="F25" s="60">
        <f>F34</f>
        <v>3580</v>
      </c>
      <c r="G25" s="58"/>
    </row>
    <row r="26" spans="1:7" ht="15.75">
      <c r="A26" s="66">
        <v>5</v>
      </c>
      <c r="B26" s="137" t="s">
        <v>73</v>
      </c>
      <c r="C26" s="138"/>
      <c r="D26" s="138"/>
      <c r="E26" s="139"/>
      <c r="F26" s="60">
        <v>541.5</v>
      </c>
      <c r="G26" s="58"/>
    </row>
    <row r="27" spans="1:7" s="71" customFormat="1" ht="15.75">
      <c r="A27" s="66" t="s">
        <v>13</v>
      </c>
      <c r="B27" s="167" t="s">
        <v>14</v>
      </c>
      <c r="C27" s="167"/>
      <c r="D27" s="167"/>
      <c r="E27" s="167"/>
      <c r="F27" s="70">
        <f>F18+F19+F20+F21+F26</f>
        <v>248792.4</v>
      </c>
      <c r="G27" s="55"/>
    </row>
    <row r="28" spans="1:7" s="71" customFormat="1" ht="15.75">
      <c r="A28" s="69"/>
      <c r="B28" s="54"/>
      <c r="C28" s="54"/>
      <c r="D28" s="54"/>
      <c r="E28" s="54"/>
      <c r="F28" s="54"/>
      <c r="G28" s="55"/>
    </row>
    <row r="29" spans="1:6" ht="18" customHeight="1">
      <c r="A29" s="96" t="s">
        <v>72</v>
      </c>
      <c r="B29" s="97"/>
      <c r="C29" s="97"/>
      <c r="D29" s="97"/>
      <c r="E29" s="97"/>
      <c r="F29" s="60">
        <f>D13-F27</f>
        <v>27684.22</v>
      </c>
    </row>
    <row r="30" spans="1:6" ht="20.25" customHeight="1">
      <c r="A30" s="101" t="s">
        <v>60</v>
      </c>
      <c r="B30" s="102"/>
      <c r="C30" s="102"/>
      <c r="D30" s="102"/>
      <c r="E30" s="102"/>
      <c r="F30" s="103">
        <f>F13</f>
        <v>-59732.579999999994</v>
      </c>
    </row>
    <row r="31" spans="1:6" s="51" customFormat="1" ht="18" customHeight="1" hidden="1" outlineLevel="1">
      <c r="A31" s="98" t="s">
        <v>52</v>
      </c>
      <c r="B31" s="68"/>
      <c r="C31" s="68"/>
      <c r="D31" s="68"/>
      <c r="E31" s="68"/>
      <c r="F31" s="99">
        <f>F29+F30</f>
        <v>-32048.359999999993</v>
      </c>
    </row>
    <row r="32" ht="18" customHeight="1" collapsed="1"/>
    <row r="33" spans="1:6" ht="15.75">
      <c r="A33" s="52" t="s">
        <v>29</v>
      </c>
      <c r="B33" s="52" t="s">
        <v>15</v>
      </c>
      <c r="C33" s="133" t="s">
        <v>27</v>
      </c>
      <c r="D33" s="134"/>
      <c r="E33" s="135"/>
      <c r="F33" s="52" t="s">
        <v>28</v>
      </c>
    </row>
    <row r="34" spans="1:6" ht="15.75">
      <c r="A34" s="75">
        <v>1</v>
      </c>
      <c r="B34" s="84" t="s">
        <v>61</v>
      </c>
      <c r="C34" s="123" t="s">
        <v>62</v>
      </c>
      <c r="D34" s="124"/>
      <c r="E34" s="125"/>
      <c r="F34" s="85">
        <f>10*358</f>
        <v>3580</v>
      </c>
    </row>
    <row r="35" spans="1:6" ht="15.75">
      <c r="A35" s="75">
        <v>2</v>
      </c>
      <c r="B35" s="84">
        <v>42067</v>
      </c>
      <c r="C35" s="155" t="s">
        <v>30</v>
      </c>
      <c r="D35" s="156"/>
      <c r="E35" s="157"/>
      <c r="F35" s="86">
        <v>654</v>
      </c>
    </row>
    <row r="36" spans="1:6" ht="31.5" customHeight="1">
      <c r="A36" s="75">
        <v>3</v>
      </c>
      <c r="B36" s="84">
        <v>42067</v>
      </c>
      <c r="C36" s="158" t="s">
        <v>39</v>
      </c>
      <c r="D36" s="159"/>
      <c r="E36" s="160"/>
      <c r="F36" s="85">
        <v>7058</v>
      </c>
    </row>
    <row r="37" spans="1:6" ht="15.75">
      <c r="A37" s="75">
        <v>4</v>
      </c>
      <c r="B37" s="84">
        <v>42079</v>
      </c>
      <c r="C37" s="158" t="s">
        <v>39</v>
      </c>
      <c r="D37" s="159"/>
      <c r="E37" s="160"/>
      <c r="F37" s="85">
        <v>21099</v>
      </c>
    </row>
    <row r="38" spans="1:6" ht="15.75">
      <c r="A38" s="75">
        <v>5</v>
      </c>
      <c r="B38" s="84">
        <v>42082</v>
      </c>
      <c r="C38" s="123" t="s">
        <v>31</v>
      </c>
      <c r="D38" s="124"/>
      <c r="E38" s="125"/>
      <c r="F38" s="86">
        <v>1555</v>
      </c>
    </row>
    <row r="39" spans="1:6" ht="15.75">
      <c r="A39" s="75">
        <v>6</v>
      </c>
      <c r="B39" s="87">
        <v>42102</v>
      </c>
      <c r="C39" s="88" t="s">
        <v>30</v>
      </c>
      <c r="D39" s="88"/>
      <c r="E39" s="88"/>
      <c r="F39" s="86">
        <v>377</v>
      </c>
    </row>
    <row r="40" spans="1:6" ht="15.75">
      <c r="A40" s="75">
        <v>7</v>
      </c>
      <c r="B40" s="84">
        <v>42116</v>
      </c>
      <c r="C40" s="149" t="s">
        <v>32</v>
      </c>
      <c r="D40" s="150"/>
      <c r="E40" s="151"/>
      <c r="F40" s="86">
        <v>3536</v>
      </c>
    </row>
    <row r="41" spans="1:6" ht="15.75">
      <c r="A41" s="75">
        <v>8</v>
      </c>
      <c r="B41" s="84">
        <v>42116</v>
      </c>
      <c r="C41" s="149" t="s">
        <v>68</v>
      </c>
      <c r="D41" s="150"/>
      <c r="E41" s="151"/>
      <c r="F41" s="86">
        <v>987</v>
      </c>
    </row>
    <row r="42" spans="1:6" ht="15.75">
      <c r="A42" s="75">
        <v>9</v>
      </c>
      <c r="B42" s="89">
        <v>42214</v>
      </c>
      <c r="C42" s="166" t="s">
        <v>44</v>
      </c>
      <c r="D42" s="166"/>
      <c r="E42" s="166"/>
      <c r="F42" s="86">
        <v>5432</v>
      </c>
    </row>
    <row r="43" spans="1:6" ht="15.75">
      <c r="A43" s="75">
        <v>10</v>
      </c>
      <c r="B43" s="90">
        <v>42230</v>
      </c>
      <c r="C43" s="164" t="s">
        <v>44</v>
      </c>
      <c r="D43" s="164"/>
      <c r="E43" s="164"/>
      <c r="F43" s="91">
        <v>6086</v>
      </c>
    </row>
    <row r="44" spans="1:6" ht="15.75">
      <c r="A44" s="75">
        <v>11</v>
      </c>
      <c r="B44" s="90">
        <v>42235</v>
      </c>
      <c r="C44" s="164" t="s">
        <v>44</v>
      </c>
      <c r="D44" s="164"/>
      <c r="E44" s="164"/>
      <c r="F44" s="91">
        <v>2667</v>
      </c>
    </row>
    <row r="45" spans="1:6" s="72" customFormat="1" ht="27.75" customHeight="1">
      <c r="A45" s="75">
        <v>12</v>
      </c>
      <c r="B45" s="90">
        <v>42247</v>
      </c>
      <c r="C45" s="164" t="s">
        <v>43</v>
      </c>
      <c r="D45" s="164"/>
      <c r="E45" s="164"/>
      <c r="F45" s="92">
        <v>1158</v>
      </c>
    </row>
    <row r="46" spans="1:6" s="72" customFormat="1" ht="15.75">
      <c r="A46" s="75">
        <v>13</v>
      </c>
      <c r="B46" s="93">
        <v>42278</v>
      </c>
      <c r="C46" s="163" t="s">
        <v>44</v>
      </c>
      <c r="D46" s="163"/>
      <c r="E46" s="163"/>
      <c r="F46" s="94">
        <v>4144</v>
      </c>
    </row>
    <row r="47" spans="1:6" ht="30" customHeight="1">
      <c r="A47" s="75">
        <v>15</v>
      </c>
      <c r="B47" s="84">
        <v>42345</v>
      </c>
      <c r="C47" s="152" t="s">
        <v>70</v>
      </c>
      <c r="D47" s="153"/>
      <c r="E47" s="154"/>
      <c r="F47" s="85">
        <v>1623</v>
      </c>
    </row>
    <row r="48" spans="1:6" ht="15.75">
      <c r="A48" s="75">
        <v>14</v>
      </c>
      <c r="B48" s="84">
        <v>42346</v>
      </c>
      <c r="C48" s="149" t="s">
        <v>69</v>
      </c>
      <c r="D48" s="150"/>
      <c r="E48" s="151"/>
      <c r="F48" s="86">
        <v>4051</v>
      </c>
    </row>
    <row r="49" spans="1:6" ht="32.25" customHeight="1">
      <c r="A49" s="75">
        <v>16</v>
      </c>
      <c r="B49" s="89">
        <v>42356</v>
      </c>
      <c r="C49" s="165" t="s">
        <v>71</v>
      </c>
      <c r="D49" s="165"/>
      <c r="E49" s="165"/>
      <c r="F49" s="85">
        <v>71630</v>
      </c>
    </row>
    <row r="50" spans="1:6" ht="15.75">
      <c r="A50" s="161" t="s">
        <v>42</v>
      </c>
      <c r="B50" s="162"/>
      <c r="C50" s="162"/>
      <c r="D50" s="162"/>
      <c r="E50" s="162"/>
      <c r="F50" s="95">
        <f>SUM(F34:F49)</f>
        <v>135637</v>
      </c>
    </row>
  </sheetData>
  <sheetProtection selectLockedCells="1" selectUnlockedCells="1"/>
  <mergeCells count="33">
    <mergeCell ref="C33:E33"/>
    <mergeCell ref="B24:E24"/>
    <mergeCell ref="C37:E37"/>
    <mergeCell ref="C38:E38"/>
    <mergeCell ref="C34:E34"/>
    <mergeCell ref="B25:E25"/>
    <mergeCell ref="B27:E27"/>
    <mergeCell ref="B26:E26"/>
    <mergeCell ref="A50:E50"/>
    <mergeCell ref="C46:E46"/>
    <mergeCell ref="C43:E43"/>
    <mergeCell ref="C44:E44"/>
    <mergeCell ref="C45:E45"/>
    <mergeCell ref="C40:E40"/>
    <mergeCell ref="C41:E41"/>
    <mergeCell ref="C49:E49"/>
    <mergeCell ref="C42:E42"/>
    <mergeCell ref="A1:F1"/>
    <mergeCell ref="A2:F2"/>
    <mergeCell ref="B4:G4"/>
    <mergeCell ref="B5:G5"/>
    <mergeCell ref="A16:F16"/>
    <mergeCell ref="B17:E17"/>
    <mergeCell ref="B23:E23"/>
    <mergeCell ref="B18:E18"/>
    <mergeCell ref="B19:E19"/>
    <mergeCell ref="B20:E20"/>
    <mergeCell ref="C48:E48"/>
    <mergeCell ref="C47:E47"/>
    <mergeCell ref="B21:E21"/>
    <mergeCell ref="B22:E22"/>
    <mergeCell ref="C35:E35"/>
    <mergeCell ref="C36:E3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SheetLayoutView="100" zoomScalePageLayoutView="0" workbookViewId="0" topLeftCell="A22">
      <selection activeCell="I15" sqref="I15"/>
    </sheetView>
  </sheetViews>
  <sheetFormatPr defaultColWidth="9.140625" defaultRowHeight="12.75" outlineLevelRow="1"/>
  <cols>
    <col min="1" max="1" width="4.421875" style="9" customWidth="1"/>
    <col min="2" max="2" width="15.140625" style="18" customWidth="1"/>
    <col min="3" max="3" width="14.7109375" style="18" customWidth="1"/>
    <col min="4" max="4" width="13.57421875" style="18" customWidth="1"/>
    <col min="5" max="5" width="14.00390625" style="18" customWidth="1"/>
    <col min="6" max="6" width="18.140625" style="18" customWidth="1"/>
    <col min="7" max="7" width="10.140625" style="18" customWidth="1"/>
    <col min="8" max="9" width="9.140625" style="18" customWidth="1"/>
    <col min="10" max="10" width="11.00390625" style="18" customWidth="1"/>
    <col min="11" max="11" width="9.8515625" style="18" customWidth="1"/>
    <col min="12" max="16384" width="9.140625" style="18" customWidth="1"/>
  </cols>
  <sheetData>
    <row r="1" spans="1:7" ht="12.75">
      <c r="A1" s="168" t="s">
        <v>51</v>
      </c>
      <c r="B1" s="168"/>
      <c r="C1" s="168"/>
      <c r="D1" s="168"/>
      <c r="E1" s="168"/>
      <c r="F1" s="168"/>
      <c r="G1" s="17"/>
    </row>
    <row r="2" spans="1:8" ht="12.75">
      <c r="A2" s="168" t="s">
        <v>0</v>
      </c>
      <c r="B2" s="168"/>
      <c r="C2" s="168"/>
      <c r="D2" s="168"/>
      <c r="E2" s="168"/>
      <c r="F2" s="168"/>
      <c r="G2" s="19"/>
      <c r="H2" s="20"/>
    </row>
    <row r="3" ht="9" customHeight="1"/>
    <row r="4" spans="2:7" ht="12.75" outlineLevel="1">
      <c r="B4" s="181" t="s">
        <v>1</v>
      </c>
      <c r="C4" s="181"/>
      <c r="D4" s="181"/>
      <c r="E4" s="181"/>
      <c r="F4" s="181"/>
      <c r="G4" s="181"/>
    </row>
    <row r="5" ht="9" customHeight="1" outlineLevel="1"/>
    <row r="6" spans="2:6" ht="12.75" outlineLevel="1">
      <c r="B6" s="182" t="s">
        <v>34</v>
      </c>
      <c r="C6" s="182"/>
      <c r="D6" s="182"/>
      <c r="E6" s="182"/>
      <c r="F6" s="182"/>
    </row>
    <row r="7" spans="2:6" ht="12.75" outlineLevel="1">
      <c r="B7" s="19" t="s">
        <v>35</v>
      </c>
      <c r="C7" s="21"/>
      <c r="D7" s="21"/>
      <c r="E7" s="21"/>
      <c r="F7" s="21"/>
    </row>
    <row r="8" spans="2:6" ht="13.5" outlineLevel="1" thickBot="1">
      <c r="B8" s="21"/>
      <c r="C8" s="21"/>
      <c r="D8" s="21"/>
      <c r="E8" s="21"/>
      <c r="F8" s="22" t="s">
        <v>23</v>
      </c>
    </row>
    <row r="9" spans="2:6" s="9" customFormat="1" ht="28.5" customHeight="1" outlineLevel="1" thickBot="1">
      <c r="B9" s="10"/>
      <c r="C9" s="4" t="s">
        <v>17</v>
      </c>
      <c r="D9" s="4" t="s">
        <v>2</v>
      </c>
      <c r="E9" s="4" t="s">
        <v>22</v>
      </c>
      <c r="F9" s="4" t="s">
        <v>41</v>
      </c>
    </row>
    <row r="10" spans="2:6" ht="30" customHeight="1" outlineLevel="1" thickBot="1">
      <c r="B10" s="1" t="s">
        <v>37</v>
      </c>
      <c r="C10" s="11">
        <v>0</v>
      </c>
      <c r="D10" s="34">
        <v>118741.46</v>
      </c>
      <c r="E10" s="34">
        <v>74628.25</v>
      </c>
      <c r="F10" s="35">
        <f>E10-D10</f>
        <v>-44113.21000000001</v>
      </c>
    </row>
    <row r="11" spans="2:6" ht="30" customHeight="1" outlineLevel="1" thickBot="1">
      <c r="B11" s="1" t="s">
        <v>18</v>
      </c>
      <c r="C11" s="12">
        <v>0</v>
      </c>
      <c r="D11" s="16">
        <v>19496.85</v>
      </c>
      <c r="E11" s="16">
        <v>12201.27</v>
      </c>
      <c r="F11" s="35">
        <f>E11-D11</f>
        <v>-7295.579999999998</v>
      </c>
    </row>
    <row r="12" spans="2:6" ht="26.25" customHeight="1" outlineLevel="1" thickBot="1">
      <c r="B12" s="1" t="s">
        <v>3</v>
      </c>
      <c r="C12" s="13">
        <f>SUM(C10:C11)</f>
        <v>0</v>
      </c>
      <c r="D12" s="36">
        <f>SUM(D10:D11)</f>
        <v>138238.31</v>
      </c>
      <c r="E12" s="36">
        <f>SUM(E10:E11)</f>
        <v>86829.52</v>
      </c>
      <c r="F12" s="37">
        <f>SUM(F10:F11)</f>
        <v>-51408.79000000001</v>
      </c>
    </row>
    <row r="13" ht="11.25" customHeight="1"/>
    <row r="14" spans="1:6" ht="12.75">
      <c r="A14" s="168" t="s">
        <v>36</v>
      </c>
      <c r="B14" s="168"/>
      <c r="C14" s="168"/>
      <c r="D14" s="168"/>
      <c r="E14" s="168"/>
      <c r="F14" s="168"/>
    </row>
    <row r="15" spans="1:6" ht="12.75">
      <c r="A15" s="17"/>
      <c r="B15" s="17"/>
      <c r="C15" s="17"/>
      <c r="D15" s="17"/>
      <c r="E15" s="17"/>
      <c r="F15" s="17"/>
    </row>
    <row r="16" spans="1:7" ht="33" customHeight="1">
      <c r="A16" s="6" t="s">
        <v>24</v>
      </c>
      <c r="B16" s="197" t="s">
        <v>4</v>
      </c>
      <c r="C16" s="197"/>
      <c r="D16" s="197"/>
      <c r="E16" s="197"/>
      <c r="F16" s="7" t="s">
        <v>5</v>
      </c>
      <c r="G16" s="8"/>
    </row>
    <row r="17" spans="1:13" ht="18" customHeight="1">
      <c r="A17" s="5" t="s">
        <v>6</v>
      </c>
      <c r="B17" s="198" t="s">
        <v>7</v>
      </c>
      <c r="C17" s="198"/>
      <c r="D17" s="198"/>
      <c r="E17" s="198"/>
      <c r="F17" s="14">
        <f>3.23*2705.6*5</f>
        <v>43695.44</v>
      </c>
      <c r="G17" s="23"/>
      <c r="I17" s="18" t="s">
        <v>45</v>
      </c>
      <c r="L17" s="18">
        <v>530</v>
      </c>
      <c r="M17" s="18" t="s">
        <v>46</v>
      </c>
    </row>
    <row r="18" spans="1:9" ht="18" customHeight="1">
      <c r="A18" s="2" t="s">
        <v>8</v>
      </c>
      <c r="B18" s="194" t="s">
        <v>9</v>
      </c>
      <c r="C18" s="194"/>
      <c r="D18" s="194"/>
      <c r="E18" s="194"/>
      <c r="F18" s="15">
        <f>0.19*2705.6*5</f>
        <v>2570.3199999999997</v>
      </c>
      <c r="G18" s="23"/>
      <c r="I18" s="18" t="s">
        <v>47</v>
      </c>
    </row>
    <row r="19" spans="1:11" ht="18" customHeight="1">
      <c r="A19" s="2" t="s">
        <v>10</v>
      </c>
      <c r="B19" s="194" t="s">
        <v>38</v>
      </c>
      <c r="C19" s="194"/>
      <c r="D19" s="194"/>
      <c r="E19" s="194"/>
      <c r="F19" s="15">
        <f>5148.56*5</f>
        <v>25742.800000000003</v>
      </c>
      <c r="G19" s="23"/>
      <c r="I19" s="18">
        <v>2707.9</v>
      </c>
      <c r="K19" s="18">
        <v>2707.9</v>
      </c>
    </row>
    <row r="20" spans="1:11" ht="18" customHeight="1">
      <c r="A20" s="2" t="s">
        <v>11</v>
      </c>
      <c r="B20" s="194" t="s">
        <v>12</v>
      </c>
      <c r="C20" s="194"/>
      <c r="D20" s="194"/>
      <c r="E20" s="194"/>
      <c r="F20" s="15">
        <f>F21+F22+F23</f>
        <v>52757</v>
      </c>
      <c r="G20" s="23"/>
      <c r="I20" s="18" t="s">
        <v>48</v>
      </c>
      <c r="J20" s="49" t="s">
        <v>49</v>
      </c>
      <c r="K20" s="49" t="s">
        <v>50</v>
      </c>
    </row>
    <row r="21" spans="1:11" ht="15.75">
      <c r="A21" s="2" t="s">
        <v>13</v>
      </c>
      <c r="B21" s="194" t="s">
        <v>19</v>
      </c>
      <c r="C21" s="194"/>
      <c r="D21" s="194"/>
      <c r="E21" s="194"/>
      <c r="F21" s="16">
        <f>F33+F34+F37+F38+F39+F32+F43+F45+F46</f>
        <v>47896</v>
      </c>
      <c r="G21" s="21"/>
      <c r="J21" s="48">
        <f>8734.94/(2791.5+2707.9)*I19</f>
        <v>4301.077213150526</v>
      </c>
      <c r="K21" s="48">
        <f>3825.68/(2619.3+2707.9)*K19</f>
        <v>1944.653640186214</v>
      </c>
    </row>
    <row r="22" spans="1:11" ht="15.75">
      <c r="A22" s="2" t="s">
        <v>13</v>
      </c>
      <c r="B22" s="194" t="s">
        <v>20</v>
      </c>
      <c r="C22" s="194"/>
      <c r="D22" s="194"/>
      <c r="E22" s="194"/>
      <c r="F22" s="16">
        <f>F36+F40+F41+F42+F35+F47+F44</f>
        <v>3703</v>
      </c>
      <c r="G22" s="21"/>
      <c r="J22" s="48">
        <f>J21*12</f>
        <v>51612.92655780632</v>
      </c>
      <c r="K22" s="48">
        <f>K21*12</f>
        <v>23335.84368223457</v>
      </c>
    </row>
    <row r="23" spans="1:7" ht="12.75">
      <c r="A23" s="2" t="s">
        <v>13</v>
      </c>
      <c r="B23" s="194" t="s">
        <v>21</v>
      </c>
      <c r="C23" s="194"/>
      <c r="D23" s="194"/>
      <c r="E23" s="194"/>
      <c r="F23" s="16">
        <f>F48</f>
        <v>1158</v>
      </c>
      <c r="G23" s="21"/>
    </row>
    <row r="24" spans="1:7" s="24" customFormat="1" ht="21" customHeight="1">
      <c r="A24" s="25"/>
      <c r="B24" s="195" t="s">
        <v>14</v>
      </c>
      <c r="C24" s="195"/>
      <c r="D24" s="195"/>
      <c r="E24" s="195"/>
      <c r="F24" s="3">
        <f>F17+F18+F19+F20</f>
        <v>124765.56</v>
      </c>
      <c r="G24" s="19"/>
    </row>
    <row r="26" spans="1:6" ht="18" customHeight="1">
      <c r="A26" s="196" t="s">
        <v>25</v>
      </c>
      <c r="B26" s="196"/>
      <c r="C26" s="196"/>
      <c r="D26" s="196"/>
      <c r="E26" s="196"/>
      <c r="F26" s="16">
        <f>D12-F24</f>
        <v>13472.75</v>
      </c>
    </row>
    <row r="27" spans="1:6" ht="20.25" customHeight="1">
      <c r="A27" s="196" t="s">
        <v>26</v>
      </c>
      <c r="B27" s="196"/>
      <c r="C27" s="196"/>
      <c r="D27" s="196"/>
      <c r="E27" s="196"/>
      <c r="F27" s="16">
        <f>F12</f>
        <v>-51408.79000000001</v>
      </c>
    </row>
    <row r="28" spans="1:6" s="51" customFormat="1" ht="18" customHeight="1">
      <c r="A28" s="193" t="s">
        <v>52</v>
      </c>
      <c r="B28" s="193"/>
      <c r="C28" s="193"/>
      <c r="D28" s="193"/>
      <c r="E28" s="193"/>
      <c r="F28" s="50">
        <f>F26+F27</f>
        <v>-37936.04000000001</v>
      </c>
    </row>
    <row r="29" ht="11.25" customHeight="1"/>
    <row r="31" spans="1:6" ht="15">
      <c r="A31" s="26" t="s">
        <v>29</v>
      </c>
      <c r="B31" s="26" t="s">
        <v>15</v>
      </c>
      <c r="C31" s="169" t="s">
        <v>27</v>
      </c>
      <c r="D31" s="170"/>
      <c r="E31" s="171"/>
      <c r="F31" s="26" t="s">
        <v>28</v>
      </c>
    </row>
    <row r="32" spans="1:6" ht="12.75">
      <c r="A32" s="27">
        <v>1</v>
      </c>
      <c r="B32" s="31">
        <v>42067</v>
      </c>
      <c r="C32" s="172" t="s">
        <v>30</v>
      </c>
      <c r="D32" s="173"/>
      <c r="E32" s="174"/>
      <c r="F32" s="29">
        <v>654</v>
      </c>
    </row>
    <row r="33" spans="1:6" ht="27" customHeight="1">
      <c r="A33" s="27">
        <v>2</v>
      </c>
      <c r="B33" s="31">
        <v>42067</v>
      </c>
      <c r="C33" s="175" t="s">
        <v>39</v>
      </c>
      <c r="D33" s="176"/>
      <c r="E33" s="177"/>
      <c r="F33" s="30">
        <v>7058</v>
      </c>
    </row>
    <row r="34" spans="1:6" ht="26.25" customHeight="1">
      <c r="A34" s="27">
        <v>3</v>
      </c>
      <c r="B34" s="31">
        <v>42079</v>
      </c>
      <c r="C34" s="175" t="s">
        <v>39</v>
      </c>
      <c r="D34" s="176"/>
      <c r="E34" s="177"/>
      <c r="F34" s="30">
        <v>21099</v>
      </c>
    </row>
    <row r="35" spans="1:6" ht="12.75">
      <c r="A35" s="27">
        <v>4</v>
      </c>
      <c r="B35" s="31">
        <v>42082</v>
      </c>
      <c r="C35" s="178" t="s">
        <v>31</v>
      </c>
      <c r="D35" s="179"/>
      <c r="E35" s="180"/>
      <c r="F35" s="29">
        <v>1555</v>
      </c>
    </row>
    <row r="36" spans="1:6" ht="12.75">
      <c r="A36" s="27">
        <v>5</v>
      </c>
      <c r="B36" s="31">
        <v>42088</v>
      </c>
      <c r="C36" s="172" t="s">
        <v>40</v>
      </c>
      <c r="D36" s="173"/>
      <c r="E36" s="174"/>
      <c r="F36" s="29">
        <v>358</v>
      </c>
    </row>
    <row r="37" spans="1:6" ht="12.75">
      <c r="A37" s="27">
        <v>6</v>
      </c>
      <c r="B37" s="32">
        <v>42102</v>
      </c>
      <c r="C37" s="28" t="s">
        <v>30</v>
      </c>
      <c r="D37" s="28"/>
      <c r="E37" s="28"/>
      <c r="F37" s="29">
        <v>377</v>
      </c>
    </row>
    <row r="38" spans="1:6" ht="12.75">
      <c r="A38" s="27">
        <v>7</v>
      </c>
      <c r="B38" s="31">
        <v>42116</v>
      </c>
      <c r="C38" s="172" t="s">
        <v>32</v>
      </c>
      <c r="D38" s="173"/>
      <c r="E38" s="174"/>
      <c r="F38" s="29">
        <v>3536</v>
      </c>
    </row>
    <row r="39" spans="1:6" ht="12.75">
      <c r="A39" s="27">
        <v>8</v>
      </c>
      <c r="B39" s="31">
        <v>42116</v>
      </c>
      <c r="C39" s="172" t="s">
        <v>33</v>
      </c>
      <c r="D39" s="173"/>
      <c r="E39" s="174"/>
      <c r="F39" s="29">
        <v>987</v>
      </c>
    </row>
    <row r="40" spans="1:6" ht="12.75">
      <c r="A40" s="27">
        <v>9</v>
      </c>
      <c r="B40" s="31">
        <v>42119</v>
      </c>
      <c r="C40" s="172" t="s">
        <v>40</v>
      </c>
      <c r="D40" s="173"/>
      <c r="E40" s="174"/>
      <c r="F40" s="29">
        <v>358</v>
      </c>
    </row>
    <row r="41" spans="1:6" ht="12.75">
      <c r="A41" s="27">
        <v>10</v>
      </c>
      <c r="B41" s="31">
        <v>42149</v>
      </c>
      <c r="C41" s="172" t="s">
        <v>40</v>
      </c>
      <c r="D41" s="173"/>
      <c r="E41" s="174"/>
      <c r="F41" s="29">
        <v>358</v>
      </c>
    </row>
    <row r="42" spans="1:6" ht="12.75">
      <c r="A42" s="27">
        <v>11</v>
      </c>
      <c r="B42" s="31">
        <v>42157</v>
      </c>
      <c r="C42" s="172" t="s">
        <v>40</v>
      </c>
      <c r="D42" s="173"/>
      <c r="E42" s="174"/>
      <c r="F42" s="29">
        <v>358</v>
      </c>
    </row>
    <row r="43" spans="1:6" ht="12.75">
      <c r="A43" s="27">
        <v>12</v>
      </c>
      <c r="B43" s="33">
        <v>42214</v>
      </c>
      <c r="C43" s="185" t="s">
        <v>44</v>
      </c>
      <c r="D43" s="185"/>
      <c r="E43" s="185"/>
      <c r="F43" s="29">
        <v>5432</v>
      </c>
    </row>
    <row r="44" spans="1:6" ht="12.75">
      <c r="A44" s="27">
        <v>13</v>
      </c>
      <c r="B44" s="31">
        <v>42210</v>
      </c>
      <c r="C44" s="172" t="s">
        <v>40</v>
      </c>
      <c r="D44" s="173"/>
      <c r="E44" s="174"/>
      <c r="F44" s="29">
        <v>358</v>
      </c>
    </row>
    <row r="45" spans="1:6" s="42" customFormat="1" ht="12.75">
      <c r="A45" s="39">
        <v>14</v>
      </c>
      <c r="B45" s="40">
        <v>42230</v>
      </c>
      <c r="C45" s="184" t="s">
        <v>44</v>
      </c>
      <c r="D45" s="184"/>
      <c r="E45" s="184"/>
      <c r="F45" s="41">
        <v>6086</v>
      </c>
    </row>
    <row r="46" spans="1:6" s="42" customFormat="1" ht="12.75">
      <c r="A46" s="39">
        <v>15</v>
      </c>
      <c r="B46" s="40">
        <v>42235</v>
      </c>
      <c r="C46" s="184" t="s">
        <v>44</v>
      </c>
      <c r="D46" s="184"/>
      <c r="E46" s="184"/>
      <c r="F46" s="41">
        <v>2667</v>
      </c>
    </row>
    <row r="47" spans="1:6" s="42" customFormat="1" ht="12.75">
      <c r="A47" s="39">
        <v>16</v>
      </c>
      <c r="B47" s="40">
        <v>42241</v>
      </c>
      <c r="C47" s="186" t="s">
        <v>40</v>
      </c>
      <c r="D47" s="187"/>
      <c r="E47" s="188"/>
      <c r="F47" s="41">
        <v>358</v>
      </c>
    </row>
    <row r="48" spans="1:6" s="42" customFormat="1" ht="27.75" customHeight="1">
      <c r="A48" s="39">
        <v>17</v>
      </c>
      <c r="B48" s="40">
        <v>42247</v>
      </c>
      <c r="C48" s="184" t="s">
        <v>43</v>
      </c>
      <c r="D48" s="184"/>
      <c r="E48" s="184"/>
      <c r="F48" s="43">
        <v>1158</v>
      </c>
    </row>
    <row r="49" spans="1:6" ht="12.75">
      <c r="A49" s="27"/>
      <c r="B49" s="31">
        <v>42272</v>
      </c>
      <c r="C49" s="172" t="s">
        <v>40</v>
      </c>
      <c r="D49" s="173"/>
      <c r="E49" s="174"/>
      <c r="F49" s="29">
        <v>358</v>
      </c>
    </row>
    <row r="50" spans="1:6" s="47" customFormat="1" ht="12.75">
      <c r="A50" s="44"/>
      <c r="B50" s="45">
        <v>42278</v>
      </c>
      <c r="C50" s="189" t="s">
        <v>44</v>
      </c>
      <c r="D50" s="189"/>
      <c r="E50" s="189"/>
      <c r="F50" s="46">
        <v>4144</v>
      </c>
    </row>
    <row r="51" spans="1:6" s="47" customFormat="1" ht="12.75">
      <c r="A51" s="44"/>
      <c r="B51" s="45">
        <v>42302</v>
      </c>
      <c r="C51" s="190" t="s">
        <v>40</v>
      </c>
      <c r="D51" s="191"/>
      <c r="E51" s="192"/>
      <c r="F51" s="46">
        <v>358</v>
      </c>
    </row>
    <row r="52" spans="1:6" s="24" customFormat="1" ht="12.75">
      <c r="A52" s="183" t="s">
        <v>42</v>
      </c>
      <c r="B52" s="183"/>
      <c r="C52" s="183"/>
      <c r="D52" s="183"/>
      <c r="E52" s="183"/>
      <c r="F52" s="38">
        <f>SUM(F32:F51)</f>
        <v>57617</v>
      </c>
    </row>
  </sheetData>
  <sheetProtection selectLockedCells="1" selectUnlockedCells="1"/>
  <mergeCells count="38">
    <mergeCell ref="A14:F14"/>
    <mergeCell ref="B16:E16"/>
    <mergeCell ref="C38:E38"/>
    <mergeCell ref="B17:E17"/>
    <mergeCell ref="B18:E18"/>
    <mergeCell ref="B19:E19"/>
    <mergeCell ref="B20:E20"/>
    <mergeCell ref="B21:E21"/>
    <mergeCell ref="C45:E45"/>
    <mergeCell ref="A28:E28"/>
    <mergeCell ref="B22:E22"/>
    <mergeCell ref="B24:E24"/>
    <mergeCell ref="A26:E26"/>
    <mergeCell ref="B23:E23"/>
    <mergeCell ref="A27:E27"/>
    <mergeCell ref="C40:E40"/>
    <mergeCell ref="C41:E41"/>
    <mergeCell ref="C42:E42"/>
    <mergeCell ref="A52:E52"/>
    <mergeCell ref="C39:E39"/>
    <mergeCell ref="C48:E48"/>
    <mergeCell ref="C43:E43"/>
    <mergeCell ref="C44:E44"/>
    <mergeCell ref="C47:E47"/>
    <mergeCell ref="C46:E46"/>
    <mergeCell ref="C50:E50"/>
    <mergeCell ref="C51:E51"/>
    <mergeCell ref="C49:E49"/>
    <mergeCell ref="A1:F1"/>
    <mergeCell ref="A2:F2"/>
    <mergeCell ref="C31:E31"/>
    <mergeCell ref="C36:E36"/>
    <mergeCell ref="C33:E33"/>
    <mergeCell ref="C34:E34"/>
    <mergeCell ref="C35:E35"/>
    <mergeCell ref="C32:E32"/>
    <mergeCell ref="B4:G4"/>
    <mergeCell ref="B6:F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2017-05-23T10:49:48Z</cp:lastPrinted>
  <dcterms:created xsi:type="dcterms:W3CDTF">2015-10-08T14:16:11Z</dcterms:created>
  <dcterms:modified xsi:type="dcterms:W3CDTF">2018-03-21T08:26:01Z</dcterms:modified>
  <cp:category/>
  <cp:version/>
  <cp:contentType/>
  <cp:contentStatus/>
</cp:coreProperties>
</file>