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17" sheetId="1" r:id="rId1"/>
    <sheet name="2016" sheetId="2" r:id="rId2"/>
    <sheet name="2015 (с марта)" sheetId="3" r:id="rId3"/>
    <sheet name="2015" sheetId="4" r:id="rId4"/>
  </sheets>
  <definedNames>
    <definedName name="_xlnm.Print_Area" localSheetId="3">'2015'!$A$1:$F$76</definedName>
    <definedName name="_xlnm.Print_Area" localSheetId="2">'2015 (с марта)'!$A$1:$F$61</definedName>
    <definedName name="_xlnm.Print_Area" localSheetId="1">'2016'!$A$1:$F$40</definedName>
  </definedNames>
  <calcPr fullCalcOnLoad="1"/>
</workbook>
</file>

<file path=xl/sharedStrings.xml><?xml version="1.0" encoding="utf-8"?>
<sst xmlns="http://schemas.openxmlformats.org/spreadsheetml/2006/main" count="400" uniqueCount="169">
  <si>
    <t>Начислено</t>
  </si>
  <si>
    <t>Содержание жилья</t>
  </si>
  <si>
    <t>Вывоз ТБО</t>
  </si>
  <si>
    <t>Уборка подъездов</t>
  </si>
  <si>
    <t>Электроэнергия МОП</t>
  </si>
  <si>
    <t>Итого</t>
  </si>
  <si>
    <t>Вид</t>
  </si>
  <si>
    <t>Услуги управления</t>
  </si>
  <si>
    <t>Обслуживание ВДГО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</si>
  <si>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</si>
  <si>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</si>
  <si>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</si>
  <si>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</si>
  <si>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</si>
  <si>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</si>
  <si>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</si>
  <si>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</si>
  <si>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</si>
  <si>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</si>
  <si>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</si>
  <si>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</si>
  <si>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</si>
  <si>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</si>
  <si>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</si>
  <si>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</si>
  <si>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</si>
  <si>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</si>
  <si>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</si>
  <si>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</si>
  <si>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</si>
  <si>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</si>
  <si>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Санитарное содержание подъездов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</si>
  <si>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</si>
  <si>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</si>
  <si>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</si>
  <si>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</si>
  <si>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</si>
  <si>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</si>
  <si>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</si>
  <si>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населения на 31.12.2015 г., в т.ч.</t>
  </si>
  <si>
    <t>Задолженность на 31.12.2015г</t>
  </si>
  <si>
    <t>снятие показаний общедомового прибора учета э/э</t>
  </si>
  <si>
    <r>
      <t xml:space="preserve">№ </t>
    </r>
    <r>
      <rPr>
        <b/>
        <sz val="12"/>
        <rFont val="Times New Roman"/>
        <family val="1"/>
      </rPr>
      <t>п/п</t>
    </r>
  </si>
  <si>
    <t>Ул. Толбухина д. 6</t>
  </si>
  <si>
    <t>Балашовская 3,5, Толбухина 6</t>
  </si>
  <si>
    <t>смена ламп , электромонтажные работы</t>
  </si>
  <si>
    <t>осмотр э/сетей, смена ламп</t>
  </si>
  <si>
    <t>осмотр э/сетей</t>
  </si>
  <si>
    <t>высотные работы, аренда гидроподъемника</t>
  </si>
  <si>
    <t>осмотр электросетей, замена ламп</t>
  </si>
  <si>
    <t>осмотр э/сетей по заявке</t>
  </si>
  <si>
    <t>Электро-энергия МОП</t>
  </si>
  <si>
    <t>осмотр систем водоснабжения, водоотведения, прочистка канализации</t>
  </si>
  <si>
    <t>ремонтные работы (усиление сварных швов)</t>
  </si>
  <si>
    <t>замена дверного доводчика</t>
  </si>
  <si>
    <t>тариф</t>
  </si>
  <si>
    <t>упр-е</t>
  </si>
  <si>
    <t>двор</t>
  </si>
  <si>
    <t>ЛК</t>
  </si>
  <si>
    <t>осмотр э/сетей, смена ламп в МОП, ремонтные работы</t>
  </si>
  <si>
    <t>смена ламп в МОП</t>
  </si>
  <si>
    <t>+окос</t>
  </si>
  <si>
    <t>06-08.10.2015</t>
  </si>
  <si>
    <t>арс</t>
  </si>
  <si>
    <t>Сальдо на 01.01.2016 г. (по начислению)</t>
  </si>
  <si>
    <t>Справочно: финансовый результат с учетом задолженности</t>
  </si>
  <si>
    <t>В управлении ООО "УК САМБИЯ" - с 01.03.2015 года</t>
  </si>
  <si>
    <t xml:space="preserve">Остаток на 01.03.2015 г. </t>
  </si>
  <si>
    <t>Задолженность на 01.03.2015 г.</t>
  </si>
  <si>
    <t>Задолженность на 01.03.2015</t>
  </si>
  <si>
    <t>Услуги аварийной службы</t>
  </si>
  <si>
    <t>Задолженность населения на 31.12.2015 г.</t>
  </si>
  <si>
    <t>ежемесячно</t>
  </si>
  <si>
    <t>снятие показаний приборов учета электроэнергии</t>
  </si>
  <si>
    <t>Снятие показаний приборов учета электроэнергии</t>
  </si>
  <si>
    <t>Электроэнергия</t>
  </si>
  <si>
    <t>Электро-энергия</t>
  </si>
  <si>
    <t>осмотр э/сетей, смена ламп, ремонтные работы</t>
  </si>
  <si>
    <t>смена ламп</t>
  </si>
  <si>
    <t>осмотр систем водоснабжения, водоотведения</t>
  </si>
  <si>
    <t>осмотр системы отопления</t>
  </si>
  <si>
    <t>Сальдо на 31.12.2015 г.</t>
  </si>
  <si>
    <t>Санитарное содержание контейнерной площадки</t>
  </si>
  <si>
    <t>долги офисов</t>
  </si>
  <si>
    <t>Материалы</t>
  </si>
  <si>
    <t xml:space="preserve">Остаток на 01.01.2016 г. </t>
  </si>
  <si>
    <t>Персонифицированный учет МКД  за  2016 г.</t>
  </si>
  <si>
    <t>Задолженность на 01.03.2016 г.</t>
  </si>
  <si>
    <t>Сальдо на 31.12.2016 г.</t>
  </si>
  <si>
    <t>Задолженность населения на 31.12.2016 г.</t>
  </si>
  <si>
    <t>Площадь</t>
  </si>
  <si>
    <t>Задолженность на 01.01.2016</t>
  </si>
  <si>
    <t>Задолженность на 31.12.2016г</t>
  </si>
  <si>
    <t>Осмотр эт. Щита, включение автомата</t>
  </si>
  <si>
    <t>Засор канализации</t>
  </si>
  <si>
    <t>Осмотр электрических сетей</t>
  </si>
  <si>
    <t>Обследование дымовых и вент. каналов</t>
  </si>
  <si>
    <t>Осмотр электрических сетей, смена ламп</t>
  </si>
  <si>
    <t>Очистка водосточной сети</t>
  </si>
  <si>
    <t>Разборка покрытий полов, установка счетчиков</t>
  </si>
  <si>
    <t>Разборка и прокладка трубопроводов канализации</t>
  </si>
  <si>
    <t>Ремонт домофонной системы</t>
  </si>
  <si>
    <t>Укрепление фановой трубы</t>
  </si>
  <si>
    <t>Демонтаж автоматов</t>
  </si>
  <si>
    <t>Осмотр чердачных и подвальных помещений, сис. водоотведения</t>
  </si>
  <si>
    <t>Устройство гидроизоляции</t>
  </si>
  <si>
    <t>Установка инфо счита</t>
  </si>
  <si>
    <t>Ремонт домофонов</t>
  </si>
  <si>
    <t>Аварийка</t>
  </si>
  <si>
    <t>Песок для детской площадки</t>
  </si>
  <si>
    <t>Ремонт систем контроля</t>
  </si>
  <si>
    <t>Ремонт кровли</t>
  </si>
  <si>
    <t>Установка люка</t>
  </si>
  <si>
    <t>Дезинсекция</t>
  </si>
  <si>
    <t>Засыпка траншей, ям</t>
  </si>
  <si>
    <t>Ремонт силового предохранительного шкафа</t>
  </si>
  <si>
    <t>Автомат одно-, двух-, трехполюсный</t>
  </si>
  <si>
    <t xml:space="preserve">Осмотр электрических сетей </t>
  </si>
  <si>
    <t>Прочистка канализационной сети</t>
  </si>
  <si>
    <t>Демонтаж. Автомат одно-, двух-, трехполюсный</t>
  </si>
  <si>
    <t>Трубо-печные работы</t>
  </si>
  <si>
    <t>Ремонт групповых щитков на лестничной клетке</t>
  </si>
  <si>
    <t xml:space="preserve">Обследование электрических сетей </t>
  </si>
  <si>
    <t>Устройство скамеек</t>
  </si>
  <si>
    <t>Ремонт систем контроля доступа</t>
  </si>
  <si>
    <t>ПОКОС ВХОДИТ, КГМ НЕТ</t>
  </si>
  <si>
    <t>Хол.вода на соид</t>
  </si>
  <si>
    <t>Водоотведение на соид</t>
  </si>
  <si>
    <t>Электроэнергия на соид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</si>
  <si>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</si>
  <si>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</si>
  <si>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</si>
  <si>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</si>
  <si>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</si>
  <si>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</si>
  <si>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</si>
  <si>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Обследование электрических сетей. Смена ламп накаливания. Ремонт патронов</t>
  </si>
  <si>
    <t>Смена автомата. Таймер освещения</t>
  </si>
  <si>
    <t>Обследование электрических сетей. Смена выключателей.</t>
  </si>
  <si>
    <t>Обследование электрических сетей. Смена ламп накаливания.</t>
  </si>
  <si>
    <t xml:space="preserve">Обследование электрических сетей. </t>
  </si>
  <si>
    <t>Обследование электрических сетей. Демонтаж/монтаж выключателей</t>
  </si>
  <si>
    <t>Ремонт групповых щитков, силового предохранительного шкафа</t>
  </si>
  <si>
    <t>Снятие показаний с приборов учета электроэнергии</t>
  </si>
  <si>
    <t xml:space="preserve">Обследование электрических сетей. Смена ламп накаливания. </t>
  </si>
  <si>
    <t>Обследование чердачных, подвальных и лест. клеток  на предмет утечки трубопроводов.</t>
  </si>
  <si>
    <t>Ремонт лестничной клетки первого этажа (под. 1)</t>
  </si>
  <si>
    <t>Очистка козырьков</t>
  </si>
  <si>
    <t>02-11.05.2017</t>
  </si>
  <si>
    <t>Ремонт фасадов</t>
  </si>
  <si>
    <t>02-12.05.2017</t>
  </si>
  <si>
    <t>Ремонт штукатурки фасадов</t>
  </si>
  <si>
    <t>Ремонт лестничной клетки первого этажа (под. 3)</t>
  </si>
  <si>
    <t>Ремонт лестничной клетки первого этажа (под. 2)</t>
  </si>
  <si>
    <t>Доставка грунта</t>
  </si>
  <si>
    <t xml:space="preserve">Покос </t>
  </si>
  <si>
    <t>31.09.2017</t>
  </si>
  <si>
    <t>Аварийные работы</t>
  </si>
  <si>
    <t>Ремонт э/м замка</t>
  </si>
  <si>
    <t>Аварийные работы. Нет света</t>
  </si>
  <si>
    <t>Герметизация швов, выравнивание отливов</t>
  </si>
  <si>
    <t>Сетка волейбольная</t>
  </si>
  <si>
    <t>Ремонт домофона</t>
  </si>
  <si>
    <t>Установка аудиотрубки</t>
  </si>
  <si>
    <t>Материалы для субботника</t>
  </si>
  <si>
    <t>Грунт, доставка</t>
  </si>
  <si>
    <t>Изготовление адресного указателя</t>
  </si>
  <si>
    <t>ежемесячно с 01.01.2017 по 31.07.2017</t>
  </si>
  <si>
    <t>Материалы, грунт, сетка волейбольная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</si>
</sst>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[$-FC19]d\ mmmm\ yyyy\ &quot;г.&quot;"/>
  </numFmts>
  <fonts count="46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4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14" fontId="1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14" fontId="43" fillId="33" borderId="10" xfId="0" applyNumberFormat="1" applyFont="1" applyFill="1" applyBorder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/>
    </xf>
    <xf numFmtId="0" fontId="1" fillId="35" borderId="0" xfId="0" applyFont="1" applyFill="1" applyAlignment="1">
      <alignment vertical="center"/>
    </xf>
    <xf numFmtId="14" fontId="43" fillId="36" borderId="10" xfId="0" applyNumberFormat="1" applyFont="1" applyFill="1" applyBorder="1" applyAlignment="1">
      <alignment horizontal="center" vertical="center"/>
    </xf>
    <xf numFmtId="4" fontId="4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4" fontId="43" fillId="37" borderId="10" xfId="0" applyNumberFormat="1" applyFont="1" applyFill="1" applyBorder="1" applyAlignment="1">
      <alignment horizontal="center" vertical="center"/>
    </xf>
    <xf numFmtId="4" fontId="43" fillId="37" borderId="10" xfId="0" applyNumberFormat="1" applyFont="1" applyFill="1" applyBorder="1" applyAlignment="1">
      <alignment horizontal="center" vertical="center"/>
    </xf>
    <xf numFmtId="0" fontId="1" fillId="37" borderId="0" xfId="0" applyFont="1" applyFill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14" fontId="43" fillId="2" borderId="10" xfId="0" applyNumberFormat="1" applyFont="1" applyFill="1" applyBorder="1" applyAlignment="1">
      <alignment horizontal="center" vertical="center"/>
    </xf>
    <xf numFmtId="4" fontId="43" fillId="2" borderId="10" xfId="0" applyNumberFormat="1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14" fontId="2" fillId="38" borderId="10" xfId="0" applyNumberFormat="1" applyFont="1" applyFill="1" applyBorder="1" applyAlignment="1">
      <alignment horizontal="center" vertical="center"/>
    </xf>
    <xf numFmtId="2" fontId="2" fillId="38" borderId="10" xfId="0" applyNumberFormat="1" applyFont="1" applyFill="1" applyBorder="1" applyAlignment="1">
      <alignment horizontal="center" vertical="center"/>
    </xf>
    <xf numFmtId="0" fontId="1" fillId="38" borderId="0" xfId="0" applyFont="1" applyFill="1" applyAlignment="1">
      <alignment vertical="center"/>
    </xf>
    <xf numFmtId="14" fontId="43" fillId="38" borderId="10" xfId="0" applyNumberFormat="1" applyFont="1" applyFill="1" applyBorder="1" applyAlignment="1">
      <alignment horizontal="center" vertical="center"/>
    </xf>
    <xf numFmtId="4" fontId="43" fillId="38" borderId="10" xfId="0" applyNumberFormat="1" applyFont="1" applyFill="1" applyBorder="1" applyAlignment="1">
      <alignment horizontal="center" vertical="center"/>
    </xf>
    <xf numFmtId="4" fontId="43" fillId="2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/>
    </xf>
    <xf numFmtId="14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14" fontId="43" fillId="3" borderId="10" xfId="0" applyNumberFormat="1" applyFont="1" applyFill="1" applyBorder="1" applyAlignment="1">
      <alignment horizontal="center" vertical="center"/>
    </xf>
    <xf numFmtId="4" fontId="43" fillId="3" borderId="10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14" fontId="43" fillId="4" borderId="10" xfId="0" applyNumberFormat="1" applyFont="1" applyFill="1" applyBorder="1" applyAlignment="1">
      <alignment horizontal="center" vertical="center"/>
    </xf>
    <xf numFmtId="4" fontId="43" fillId="4" borderId="10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5" borderId="10" xfId="0" applyFont="1" applyFill="1" applyBorder="1" applyAlignment="1">
      <alignment horizontal="center" vertical="center"/>
    </xf>
    <xf numFmtId="14" fontId="43" fillId="5" borderId="10" xfId="0" applyNumberFormat="1" applyFont="1" applyFill="1" applyBorder="1" applyAlignment="1">
      <alignment horizontal="center" vertical="center"/>
    </xf>
    <xf numFmtId="4" fontId="43" fillId="5" borderId="10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2" fontId="1" fillId="33" borderId="0" xfId="0" applyNumberFormat="1" applyFont="1" applyFill="1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14" fontId="43" fillId="13" borderId="10" xfId="0" applyNumberFormat="1" applyFont="1" applyFill="1" applyBorder="1" applyAlignment="1">
      <alignment horizontal="center" vertical="center"/>
    </xf>
    <xf numFmtId="4" fontId="43" fillId="13" borderId="10" xfId="0" applyNumberFormat="1" applyFont="1" applyFill="1" applyBorder="1" applyAlignment="1">
      <alignment horizontal="center" vertical="center"/>
    </xf>
    <xf numFmtId="0" fontId="1" fillId="13" borderId="0" xfId="0" applyFont="1" applyFill="1" applyAlignment="1">
      <alignment vertical="center"/>
    </xf>
    <xf numFmtId="0" fontId="2" fillId="12" borderId="10" xfId="0" applyFont="1" applyFill="1" applyBorder="1" applyAlignment="1">
      <alignment horizontal="center" vertical="center"/>
    </xf>
    <xf numFmtId="14" fontId="43" fillId="12" borderId="10" xfId="0" applyNumberFormat="1" applyFont="1" applyFill="1" applyBorder="1" applyAlignment="1">
      <alignment horizontal="center" vertical="center"/>
    </xf>
    <xf numFmtId="4" fontId="43" fillId="12" borderId="10" xfId="0" applyNumberFormat="1" applyFont="1" applyFill="1" applyBorder="1" applyAlignment="1">
      <alignment horizontal="center" vertical="center"/>
    </xf>
    <xf numFmtId="0" fontId="1" fillId="12" borderId="0" xfId="0" applyFont="1" applyFill="1" applyAlignment="1">
      <alignment vertical="center"/>
    </xf>
    <xf numFmtId="49" fontId="1" fillId="33" borderId="15" xfId="0" applyNumberFormat="1" applyFont="1" applyFill="1" applyBorder="1" applyAlignment="1">
      <alignment vertical="center"/>
    </xf>
    <xf numFmtId="0" fontId="2" fillId="39" borderId="10" xfId="0" applyFont="1" applyFill="1" applyBorder="1" applyAlignment="1">
      <alignment horizontal="center" vertical="center"/>
    </xf>
    <xf numFmtId="14" fontId="43" fillId="39" borderId="10" xfId="0" applyNumberFormat="1" applyFont="1" applyFill="1" applyBorder="1" applyAlignment="1">
      <alignment horizontal="center" vertical="center"/>
    </xf>
    <xf numFmtId="4" fontId="43" fillId="39" borderId="10" xfId="0" applyNumberFormat="1" applyFont="1" applyFill="1" applyBorder="1" applyAlignment="1">
      <alignment horizontal="center" vertical="center"/>
    </xf>
    <xf numFmtId="0" fontId="1" fillId="39" borderId="0" xfId="0" applyFont="1" applyFill="1" applyAlignment="1">
      <alignment vertical="center"/>
    </xf>
    <xf numFmtId="4" fontId="1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2" fontId="1" fillId="33" borderId="10" xfId="0" applyNumberFormat="1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1" fillId="33" borderId="0" xfId="0" applyNumberFormat="1" applyFont="1" applyFill="1" applyBorder="1" applyAlignment="1">
      <alignment vertical="center"/>
    </xf>
    <xf numFmtId="1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4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4" fontId="1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4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43" fillId="10" borderId="22" xfId="0" applyFont="1" applyFill="1" applyBorder="1" applyAlignment="1">
      <alignment vertical="center"/>
    </xf>
    <xf numFmtId="0" fontId="43" fillId="10" borderId="23" xfId="0" applyFont="1" applyFill="1" applyBorder="1" applyAlignment="1">
      <alignment vertical="center"/>
    </xf>
    <xf numFmtId="0" fontId="43" fillId="10" borderId="24" xfId="0" applyFont="1" applyFill="1" applyBorder="1" applyAlignment="1">
      <alignment vertical="center"/>
    </xf>
    <xf numFmtId="0" fontId="43" fillId="0" borderId="22" xfId="0" applyFont="1" applyFill="1" applyBorder="1" applyAlignment="1">
      <alignment vertical="center"/>
    </xf>
    <xf numFmtId="0" fontId="43" fillId="0" borderId="23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vertical="center"/>
    </xf>
    <xf numFmtId="0" fontId="43" fillId="2" borderId="23" xfId="0" applyFont="1" applyFill="1" applyBorder="1" applyAlignment="1">
      <alignment vertical="center"/>
    </xf>
    <xf numFmtId="0" fontId="43" fillId="2" borderId="24" xfId="0" applyFont="1" applyFill="1" applyBorder="1" applyAlignment="1">
      <alignment vertical="center"/>
    </xf>
    <xf numFmtId="0" fontId="43" fillId="40" borderId="22" xfId="0" applyFont="1" applyFill="1" applyBorder="1" applyAlignment="1">
      <alignment vertical="center" wrapText="1"/>
    </xf>
    <xf numFmtId="0" fontId="43" fillId="40" borderId="23" xfId="0" applyFont="1" applyFill="1" applyBorder="1" applyAlignment="1">
      <alignment vertical="center" wrapText="1"/>
    </xf>
    <xf numFmtId="0" fontId="43" fillId="40" borderId="24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vertical="center" wrapText="1"/>
    </xf>
    <xf numFmtId="0" fontId="43" fillId="0" borderId="23" xfId="0" applyFont="1" applyFill="1" applyBorder="1" applyAlignment="1">
      <alignment vertical="center" wrapText="1"/>
    </xf>
    <xf numFmtId="0" fontId="43" fillId="0" borderId="24" xfId="0" applyFont="1" applyFill="1" applyBorder="1" applyAlignment="1">
      <alignment vertical="center" wrapText="1"/>
    </xf>
    <xf numFmtId="0" fontId="43" fillId="2" borderId="22" xfId="0" applyFont="1" applyFill="1" applyBorder="1" applyAlignment="1">
      <alignment vertical="center" wrapText="1"/>
    </xf>
    <xf numFmtId="0" fontId="43" fillId="2" borderId="23" xfId="0" applyFont="1" applyFill="1" applyBorder="1" applyAlignment="1">
      <alignment vertical="center" wrapText="1"/>
    </xf>
    <xf numFmtId="0" fontId="43" fillId="2" borderId="2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left" vertical="center" wrapText="1"/>
    </xf>
    <xf numFmtId="0" fontId="1" fillId="33" borderId="25" xfId="0" applyFont="1" applyFill="1" applyBorder="1" applyAlignment="1">
      <alignment horizontal="left" vertical="center" wrapText="1"/>
    </xf>
    <xf numFmtId="0" fontId="1" fillId="33" borderId="26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42" fillId="33" borderId="22" xfId="0" applyFont="1" applyFill="1" applyBorder="1" applyAlignment="1">
      <alignment horizontal="center" vertical="center"/>
    </xf>
    <xf numFmtId="0" fontId="42" fillId="33" borderId="23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43" fillId="10" borderId="22" xfId="0" applyFont="1" applyFill="1" applyBorder="1" applyAlignment="1">
      <alignment vertical="center" wrapText="1"/>
    </xf>
    <xf numFmtId="0" fontId="43" fillId="10" borderId="23" xfId="0" applyFont="1" applyFill="1" applyBorder="1" applyAlignment="1">
      <alignment vertical="center" wrapText="1"/>
    </xf>
    <xf numFmtId="0" fontId="43" fillId="10" borderId="24" xfId="0" applyFont="1" applyFill="1" applyBorder="1" applyAlignment="1">
      <alignment vertical="center" wrapText="1"/>
    </xf>
    <xf numFmtId="0" fontId="43" fillId="0" borderId="22" xfId="0" applyFont="1" applyFill="1" applyBorder="1" applyAlignment="1">
      <alignment wrapText="1"/>
    </xf>
    <xf numFmtId="0" fontId="43" fillId="0" borderId="23" xfId="0" applyFont="1" applyFill="1" applyBorder="1" applyAlignment="1">
      <alignment wrapText="1"/>
    </xf>
    <xf numFmtId="0" fontId="43" fillId="0" borderId="24" xfId="0" applyFont="1" applyFill="1" applyBorder="1" applyAlignment="1">
      <alignment wrapText="1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2" fillId="2" borderId="24" xfId="0" applyFont="1" applyFill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43" fillId="36" borderId="22" xfId="0" applyFont="1" applyFill="1" applyBorder="1" applyAlignment="1">
      <alignment horizontal="left" vertical="center" wrapText="1"/>
    </xf>
    <xf numFmtId="0" fontId="43" fillId="36" borderId="23" xfId="0" applyFont="1" applyFill="1" applyBorder="1" applyAlignment="1">
      <alignment horizontal="left" vertical="center" wrapText="1"/>
    </xf>
    <xf numFmtId="0" fontId="43" fillId="36" borderId="24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24" xfId="0" applyFont="1" applyFill="1" applyBorder="1" applyAlignment="1">
      <alignment horizontal="left" vertical="center" wrapText="1"/>
    </xf>
    <xf numFmtId="0" fontId="43" fillId="4" borderId="22" xfId="0" applyFont="1" applyFill="1" applyBorder="1" applyAlignment="1">
      <alignment horizontal="left" vertical="center" wrapText="1"/>
    </xf>
    <xf numFmtId="0" fontId="43" fillId="4" borderId="23" xfId="0" applyFont="1" applyFill="1" applyBorder="1" applyAlignment="1">
      <alignment horizontal="left" vertical="center" wrapText="1"/>
    </xf>
    <xf numFmtId="0" fontId="43" fillId="4" borderId="2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  <xf numFmtId="0" fontId="43" fillId="41" borderId="22" xfId="0" applyFont="1" applyFill="1" applyBorder="1" applyAlignment="1">
      <alignment horizontal="left" vertical="center" wrapText="1"/>
    </xf>
    <xf numFmtId="0" fontId="43" fillId="41" borderId="23" xfId="0" applyFont="1" applyFill="1" applyBorder="1" applyAlignment="1">
      <alignment horizontal="left" vertical="center" wrapText="1"/>
    </xf>
    <xf numFmtId="0" fontId="43" fillId="41" borderId="24" xfId="0" applyFont="1" applyFill="1" applyBorder="1" applyAlignment="1">
      <alignment horizontal="left" vertical="center" wrapText="1"/>
    </xf>
    <xf numFmtId="0" fontId="43" fillId="42" borderId="22" xfId="0" applyFont="1" applyFill="1" applyBorder="1" applyAlignment="1">
      <alignment horizontal="left" vertical="center" wrapText="1"/>
    </xf>
    <xf numFmtId="0" fontId="43" fillId="42" borderId="23" xfId="0" applyFont="1" applyFill="1" applyBorder="1" applyAlignment="1">
      <alignment horizontal="left" vertical="center" wrapText="1"/>
    </xf>
    <xf numFmtId="0" fontId="43" fillId="42" borderId="24" xfId="0" applyFont="1" applyFill="1" applyBorder="1" applyAlignment="1">
      <alignment horizontal="left" vertical="center" wrapText="1"/>
    </xf>
    <xf numFmtId="0" fontId="43" fillId="43" borderId="22" xfId="0" applyFont="1" applyFill="1" applyBorder="1" applyAlignment="1">
      <alignment horizontal="left" vertical="center" wrapText="1"/>
    </xf>
    <xf numFmtId="0" fontId="43" fillId="43" borderId="23" xfId="0" applyFont="1" applyFill="1" applyBorder="1" applyAlignment="1">
      <alignment horizontal="left" vertical="center" wrapText="1"/>
    </xf>
    <xf numFmtId="0" fontId="43" fillId="43" borderId="24" xfId="0" applyFont="1" applyFill="1" applyBorder="1" applyAlignment="1">
      <alignment horizontal="left" vertical="center" wrapText="1"/>
    </xf>
    <xf numFmtId="0" fontId="43" fillId="38" borderId="22" xfId="0" applyFont="1" applyFill="1" applyBorder="1" applyAlignment="1">
      <alignment horizontal="left" vertical="center" wrapText="1"/>
    </xf>
    <xf numFmtId="0" fontId="43" fillId="38" borderId="23" xfId="0" applyFont="1" applyFill="1" applyBorder="1" applyAlignment="1">
      <alignment horizontal="left" vertical="center" wrapText="1"/>
    </xf>
    <xf numFmtId="0" fontId="43" fillId="38" borderId="24" xfId="0" applyFont="1" applyFill="1" applyBorder="1" applyAlignment="1">
      <alignment horizontal="left" vertical="center" wrapText="1"/>
    </xf>
    <xf numFmtId="0" fontId="43" fillId="2" borderId="22" xfId="0" applyFont="1" applyFill="1" applyBorder="1" applyAlignment="1">
      <alignment horizontal="left" vertical="center" wrapText="1"/>
    </xf>
    <xf numFmtId="0" fontId="43" fillId="2" borderId="23" xfId="0" applyFont="1" applyFill="1" applyBorder="1" applyAlignment="1">
      <alignment horizontal="left" vertical="center" wrapText="1"/>
    </xf>
    <xf numFmtId="0" fontId="43" fillId="2" borderId="24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horizontal="left" vertical="center" wrapText="1"/>
    </xf>
    <xf numFmtId="0" fontId="1" fillId="33" borderId="23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left" vertical="center" wrapText="1"/>
    </xf>
    <xf numFmtId="0" fontId="1" fillId="34" borderId="22" xfId="0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 wrapText="1"/>
    </xf>
    <xf numFmtId="0" fontId="43" fillId="44" borderId="22" xfId="0" applyFont="1" applyFill="1" applyBorder="1" applyAlignment="1">
      <alignment horizontal="left" vertical="center" wrapText="1"/>
    </xf>
    <xf numFmtId="0" fontId="43" fillId="44" borderId="23" xfId="0" applyFont="1" applyFill="1" applyBorder="1" applyAlignment="1">
      <alignment horizontal="left" vertical="center" wrapText="1"/>
    </xf>
    <xf numFmtId="0" fontId="43" fillId="44" borderId="24" xfId="0" applyFont="1" applyFill="1" applyBorder="1" applyAlignment="1">
      <alignment horizontal="left" vertical="center" wrapText="1"/>
    </xf>
    <xf numFmtId="0" fontId="43" fillId="34" borderId="22" xfId="0" applyFont="1" applyFill="1" applyBorder="1" applyAlignment="1">
      <alignment horizontal="left" vertical="center" wrapText="1"/>
    </xf>
    <xf numFmtId="0" fontId="43" fillId="34" borderId="23" xfId="0" applyFont="1" applyFill="1" applyBorder="1" applyAlignment="1">
      <alignment horizontal="left" vertical="center" wrapText="1"/>
    </xf>
    <xf numFmtId="0" fontId="43" fillId="34" borderId="24" xfId="0" applyFont="1" applyFill="1" applyBorder="1" applyAlignment="1">
      <alignment horizontal="left" vertical="center" wrapText="1"/>
    </xf>
    <xf numFmtId="0" fontId="43" fillId="37" borderId="22" xfId="0" applyFont="1" applyFill="1" applyBorder="1" applyAlignment="1">
      <alignment horizontal="left" vertical="center" wrapText="1"/>
    </xf>
    <xf numFmtId="0" fontId="43" fillId="37" borderId="23" xfId="0" applyFont="1" applyFill="1" applyBorder="1" applyAlignment="1">
      <alignment horizontal="left" vertical="center" wrapText="1"/>
    </xf>
    <xf numFmtId="0" fontId="43" fillId="37" borderId="24" xfId="0" applyFont="1" applyFill="1" applyBorder="1" applyAlignment="1">
      <alignment horizontal="left" vertical="center" wrapText="1"/>
    </xf>
    <xf numFmtId="0" fontId="43" fillId="45" borderId="22" xfId="0" applyFont="1" applyFill="1" applyBorder="1" applyAlignment="1">
      <alignment horizontal="left" vertical="center" wrapText="1"/>
    </xf>
    <xf numFmtId="0" fontId="43" fillId="45" borderId="23" xfId="0" applyFont="1" applyFill="1" applyBorder="1" applyAlignment="1">
      <alignment horizontal="left" vertical="center" wrapText="1"/>
    </xf>
    <xf numFmtId="0" fontId="43" fillId="45" borderId="24" xfId="0" applyFont="1" applyFill="1" applyBorder="1" applyAlignment="1">
      <alignment horizontal="left" vertical="center" wrapText="1"/>
    </xf>
    <xf numFmtId="0" fontId="43" fillId="46" borderId="22" xfId="0" applyFont="1" applyFill="1" applyBorder="1" applyAlignment="1">
      <alignment horizontal="left" vertical="center" wrapText="1"/>
    </xf>
    <xf numFmtId="0" fontId="43" fillId="46" borderId="23" xfId="0" applyFont="1" applyFill="1" applyBorder="1" applyAlignment="1">
      <alignment horizontal="left" vertical="center" wrapText="1"/>
    </xf>
    <xf numFmtId="0" fontId="43" fillId="46" borderId="24" xfId="0" applyFont="1" applyFill="1" applyBorder="1" applyAlignment="1">
      <alignment horizontal="left" vertical="center" wrapText="1"/>
    </xf>
    <xf numFmtId="0" fontId="2" fillId="35" borderId="22" xfId="0" applyFont="1" applyFill="1" applyBorder="1" applyAlignment="1">
      <alignment horizontal="left" wrapText="1"/>
    </xf>
    <xf numFmtId="0" fontId="2" fillId="35" borderId="23" xfId="0" applyFont="1" applyFill="1" applyBorder="1" applyAlignment="1">
      <alignment horizontal="left" wrapText="1"/>
    </xf>
    <xf numFmtId="0" fontId="2" fillId="35" borderId="24" xfId="0" applyFont="1" applyFill="1" applyBorder="1" applyAlignment="1">
      <alignment horizontal="left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43" fillId="47" borderId="22" xfId="0" applyFont="1" applyFill="1" applyBorder="1" applyAlignment="1">
      <alignment horizontal="left" vertical="center" wrapText="1"/>
    </xf>
    <xf numFmtId="0" fontId="43" fillId="47" borderId="23" xfId="0" applyFont="1" applyFill="1" applyBorder="1" applyAlignment="1">
      <alignment horizontal="left" vertical="center" wrapText="1"/>
    </xf>
    <xf numFmtId="0" fontId="43" fillId="47" borderId="24" xfId="0" applyFont="1" applyFill="1" applyBorder="1" applyAlignment="1">
      <alignment horizontal="left" vertical="center" wrapText="1"/>
    </xf>
    <xf numFmtId="0" fontId="43" fillId="48" borderId="22" xfId="0" applyFont="1" applyFill="1" applyBorder="1" applyAlignment="1">
      <alignment horizontal="left" vertical="center" wrapText="1"/>
    </xf>
    <xf numFmtId="0" fontId="43" fillId="48" borderId="23" xfId="0" applyFont="1" applyFill="1" applyBorder="1" applyAlignment="1">
      <alignment horizontal="left" vertical="center" wrapText="1"/>
    </xf>
    <xf numFmtId="0" fontId="43" fillId="48" borderId="24" xfId="0" applyFont="1" applyFill="1" applyBorder="1" applyAlignment="1">
      <alignment horizontal="left" vertical="center" wrapText="1"/>
    </xf>
    <xf numFmtId="0" fontId="43" fillId="49" borderId="22" xfId="0" applyFont="1" applyFill="1" applyBorder="1" applyAlignment="1">
      <alignment horizontal="left" vertical="center" wrapText="1"/>
    </xf>
    <xf numFmtId="0" fontId="43" fillId="49" borderId="23" xfId="0" applyFont="1" applyFill="1" applyBorder="1" applyAlignment="1">
      <alignment horizontal="left" vertical="center" wrapText="1"/>
    </xf>
    <xf numFmtId="0" fontId="43" fillId="49" borderId="24" xfId="0" applyFont="1" applyFill="1" applyBorder="1" applyAlignment="1">
      <alignment horizontal="left" vertical="center" wrapText="1"/>
    </xf>
    <xf numFmtId="0" fontId="44" fillId="33" borderId="0" xfId="0" applyFont="1" applyFill="1" applyAlignment="1">
      <alignment vertical="center"/>
    </xf>
    <xf numFmtId="4" fontId="1" fillId="0" borderId="28" xfId="0" applyNumberFormat="1" applyFont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5" fillId="50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51" borderId="10" xfId="0" applyFont="1" applyFill="1" applyBorder="1" applyAlignment="1">
      <alignment horizontal="center" vertical="center"/>
    </xf>
    <xf numFmtId="0" fontId="45" fillId="52" borderId="10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left" vertical="center" wrapText="1"/>
    </xf>
    <xf numFmtId="0" fontId="45" fillId="33" borderId="23" xfId="0" applyFont="1" applyFill="1" applyBorder="1" applyAlignment="1">
      <alignment horizontal="left" vertical="center" wrapText="1"/>
    </xf>
    <xf numFmtId="0" fontId="45" fillId="33" borderId="24" xfId="0" applyFont="1" applyFill="1" applyBorder="1" applyAlignment="1">
      <alignment horizontal="left" vertical="center" wrapText="1"/>
    </xf>
    <xf numFmtId="0" fontId="45" fillId="33" borderId="2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4" fontId="43" fillId="0" borderId="0" xfId="0" applyNumberFormat="1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left" vertical="center"/>
    </xf>
    <xf numFmtId="0" fontId="45" fillId="33" borderId="23" xfId="0" applyFont="1" applyFill="1" applyBorder="1" applyAlignment="1">
      <alignment horizontal="left" vertical="center"/>
    </xf>
    <xf numFmtId="0" fontId="45" fillId="33" borderId="24" xfId="0" applyFont="1" applyFill="1" applyBorder="1" applyAlignment="1">
      <alignment horizontal="left" vertical="center"/>
    </xf>
    <xf numFmtId="0" fontId="45" fillId="53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>
      <alignment horizontal="center" vertical="center" wrapText="1"/>
    </xf>
    <xf numFmtId="4" fontId="2" fillId="54" borderId="10" xfId="0" applyNumberFormat="1" applyFont="1" applyFill="1" applyBorder="1" applyAlignment="1">
      <alignment horizontal="center" vertical="center"/>
    </xf>
    <xf numFmtId="0" fontId="45" fillId="9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zoomScalePageLayoutView="0" workbookViewId="0" topLeftCell="A1">
      <selection activeCell="D8" sqref="D8"/>
    </sheetView>
  </sheetViews>
  <sheetFormatPr defaultColWidth="9.140625" defaultRowHeight="12.75" outlineLevelRow="1"/>
  <cols>
    <col min="1" max="1" width="4.421875" style="15" customWidth="1"/>
    <col min="2" max="2" width="15.140625" style="8" customWidth="1"/>
    <col min="3" max="3" width="15.57421875" style="8" customWidth="1"/>
    <col min="4" max="4" width="13.57421875" style="8" customWidth="1"/>
    <col min="5" max="5" width="17.8515625" style="8" customWidth="1"/>
    <col min="6" max="6" width="18.140625" style="8" customWidth="1"/>
    <col min="7" max="7" width="12.710937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47" t="s">
        <v>129</v>
      </c>
      <c r="B1" s="147"/>
      <c r="C1" s="147"/>
      <c r="D1" s="147"/>
      <c r="E1" s="147"/>
      <c r="F1" s="147"/>
      <c r="G1" s="111"/>
    </row>
    <row r="2" spans="1:6" ht="15.75">
      <c r="A2" s="147" t="s">
        <v>43</v>
      </c>
      <c r="B2" s="147"/>
      <c r="C2" s="147"/>
      <c r="D2" s="147"/>
      <c r="E2" s="147"/>
      <c r="F2" s="147"/>
    </row>
    <row r="3" ht="9" customHeight="1"/>
    <row r="4" spans="2:6" ht="15.75" hidden="1" outlineLevel="1">
      <c r="B4" s="16" t="s">
        <v>66</v>
      </c>
      <c r="C4" s="16"/>
      <c r="D4" s="16"/>
      <c r="E4" s="16"/>
      <c r="F4" s="16"/>
    </row>
    <row r="5" spans="2:6" ht="18" customHeight="1" outlineLevel="1">
      <c r="B5" s="16" t="s">
        <v>14</v>
      </c>
      <c r="C5" s="16"/>
      <c r="D5" s="16">
        <v>7921.7</v>
      </c>
      <c r="E5" s="16" t="s">
        <v>15</v>
      </c>
      <c r="F5" s="16"/>
    </row>
    <row r="6" ht="9" customHeight="1"/>
    <row r="7" spans="1:6" ht="15.75">
      <c r="A7" s="14" t="s">
        <v>130</v>
      </c>
      <c r="C7" s="14"/>
      <c r="D7" s="17">
        <f>'2016'!F38</f>
        <v>256580.65661617764</v>
      </c>
      <c r="E7" s="14" t="s">
        <v>20</v>
      </c>
      <c r="F7" s="14"/>
    </row>
    <row r="8" spans="1:6" ht="15.75">
      <c r="A8" s="14" t="s">
        <v>131</v>
      </c>
      <c r="C8" s="16"/>
      <c r="D8" s="18">
        <f>C19</f>
        <v>-407831.7600000002</v>
      </c>
      <c r="E8" s="16" t="s">
        <v>19</v>
      </c>
      <c r="F8" s="16"/>
    </row>
    <row r="9" spans="2:6" ht="15.75">
      <c r="B9" s="16"/>
      <c r="C9" s="16"/>
      <c r="D9" s="16"/>
      <c r="E9" s="16"/>
      <c r="F9" s="19" t="s">
        <v>20</v>
      </c>
    </row>
    <row r="10" spans="1:6" s="15" customFormat="1" ht="28.5" customHeight="1">
      <c r="A10" s="113" t="s">
        <v>21</v>
      </c>
      <c r="B10" s="20" t="s">
        <v>22</v>
      </c>
      <c r="C10" s="21" t="s">
        <v>132</v>
      </c>
      <c r="D10" s="21" t="s">
        <v>0</v>
      </c>
      <c r="E10" s="21" t="s">
        <v>24</v>
      </c>
      <c r="F10" s="21" t="s">
        <v>133</v>
      </c>
    </row>
    <row r="11" spans="1:9" s="24" customFormat="1" ht="30" customHeight="1">
      <c r="A11" s="113">
        <v>1</v>
      </c>
      <c r="B11" s="22" t="s">
        <v>1</v>
      </c>
      <c r="C11" s="9">
        <v>-225112.41</v>
      </c>
      <c r="D11" s="9">
        <f>697059.54+828.81-2546.63</f>
        <v>695341.7200000001</v>
      </c>
      <c r="E11" s="9">
        <v>637361.28</v>
      </c>
      <c r="F11" s="9">
        <f>C11-D11+E11</f>
        <v>-283092.8500000001</v>
      </c>
      <c r="G11" s="14" t="s">
        <v>55</v>
      </c>
      <c r="H11" s="32">
        <v>7.42</v>
      </c>
      <c r="I11" s="86">
        <f>H11*D5*10</f>
        <v>587790.1399999999</v>
      </c>
    </row>
    <row r="12" spans="1:9" s="24" customFormat="1" ht="30" customHeight="1">
      <c r="A12" s="113">
        <v>2</v>
      </c>
      <c r="B12" s="22" t="s">
        <v>2</v>
      </c>
      <c r="C12" s="9">
        <v>-86000.06000000006</v>
      </c>
      <c r="D12" s="9">
        <f>265859.91+316.11-779.92</f>
        <v>265396.1</v>
      </c>
      <c r="E12" s="9">
        <v>242706.82</v>
      </c>
      <c r="F12" s="9">
        <f>C12-D12+E12</f>
        <v>-108689.34000000003</v>
      </c>
      <c r="G12" s="8" t="s">
        <v>56</v>
      </c>
      <c r="H12" s="8">
        <v>2.62</v>
      </c>
      <c r="I12" s="86">
        <f>H12*H22*12</f>
        <v>249058.248</v>
      </c>
    </row>
    <row r="13" spans="1:9" s="24" customFormat="1" ht="33" customHeight="1">
      <c r="A13" s="113">
        <v>3</v>
      </c>
      <c r="B13" s="22" t="s">
        <v>3</v>
      </c>
      <c r="C13" s="9">
        <v>-25526.040000000023</v>
      </c>
      <c r="D13" s="9">
        <f>99255.4-329.83</f>
        <v>98925.56999999999</v>
      </c>
      <c r="E13" s="9">
        <v>92835.13</v>
      </c>
      <c r="F13" s="9">
        <f>C13-D13+E13</f>
        <v>-31616.48000000001</v>
      </c>
      <c r="G13" s="16" t="s">
        <v>57</v>
      </c>
      <c r="H13" s="8">
        <f>2.17</f>
        <v>2.17</v>
      </c>
      <c r="I13" s="86">
        <f>H13*H22*12</f>
        <v>206281.068</v>
      </c>
    </row>
    <row r="14" spans="1:9" s="24" customFormat="1" ht="30" customHeight="1">
      <c r="A14" s="113">
        <v>4</v>
      </c>
      <c r="B14" s="22" t="s">
        <v>51</v>
      </c>
      <c r="C14" s="9">
        <v>-13002.369999999988</v>
      </c>
      <c r="D14" s="9">
        <f>10150.1+491.26</f>
        <v>10641.36</v>
      </c>
      <c r="E14" s="9">
        <v>13049.91</v>
      </c>
      <c r="F14" s="9">
        <f>C14-D14+E14</f>
        <v>-10593.819999999989</v>
      </c>
      <c r="G14" s="16" t="s">
        <v>58</v>
      </c>
      <c r="H14" s="8">
        <v>1.41</v>
      </c>
      <c r="I14" s="86">
        <f>H14*H22*12</f>
        <v>134035.164</v>
      </c>
    </row>
    <row r="15" spans="1:6" ht="32.25" customHeight="1">
      <c r="A15" s="113">
        <v>5</v>
      </c>
      <c r="B15" s="22" t="s">
        <v>76</v>
      </c>
      <c r="C15" s="9">
        <v>-58190.88000000005</v>
      </c>
      <c r="D15" s="9">
        <f>53087.55-6110.98</f>
        <v>46976.57000000001</v>
      </c>
      <c r="E15" s="9">
        <v>59574.53</v>
      </c>
      <c r="F15" s="9">
        <f>C15-D15+E15</f>
        <v>-45592.92000000006</v>
      </c>
    </row>
    <row r="16" spans="1:6" ht="32.25" customHeight="1">
      <c r="A16" s="113">
        <v>6</v>
      </c>
      <c r="B16" s="22" t="s">
        <v>126</v>
      </c>
      <c r="C16" s="227">
        <v>0</v>
      </c>
      <c r="D16" s="228">
        <f>5260.6-2.18+6.18-8.86</f>
        <v>5255.740000000001</v>
      </c>
      <c r="E16" s="228">
        <v>3988.49</v>
      </c>
      <c r="F16" s="229">
        <f>C16-D16+E16</f>
        <v>-1267.250000000001</v>
      </c>
    </row>
    <row r="17" spans="1:6" ht="32.25" customHeight="1">
      <c r="A17" s="113">
        <v>7</v>
      </c>
      <c r="B17" s="22" t="s">
        <v>127</v>
      </c>
      <c r="C17" s="227">
        <v>0</v>
      </c>
      <c r="D17" s="228">
        <f>2830.38-1.24+4.99-7.16</f>
        <v>2826.9700000000003</v>
      </c>
      <c r="E17" s="228">
        <v>2009.26</v>
      </c>
      <c r="F17" s="229">
        <f>C17-D17+E17</f>
        <v>-817.7100000000003</v>
      </c>
    </row>
    <row r="18" spans="1:6" ht="32.25" customHeight="1">
      <c r="A18" s="113">
        <v>8</v>
      </c>
      <c r="B18" s="22" t="s">
        <v>128</v>
      </c>
      <c r="C18" s="227">
        <v>0</v>
      </c>
      <c r="D18" s="228">
        <f>120263.14-92268.51+25.69+3181.14</f>
        <v>31201.460000000003</v>
      </c>
      <c r="E18" s="228">
        <v>81457.39</v>
      </c>
      <c r="F18" s="229">
        <f>C18-D18+E18</f>
        <v>50255.92999999999</v>
      </c>
    </row>
    <row r="19" spans="1:8" ht="20.25" customHeight="1">
      <c r="A19" s="113"/>
      <c r="B19" s="22" t="s">
        <v>5</v>
      </c>
      <c r="C19" s="9">
        <f>SUM(C11:C18)</f>
        <v>-407831.7600000002</v>
      </c>
      <c r="D19" s="9">
        <f>SUM(D11:D18)</f>
        <v>1156565.4900000002</v>
      </c>
      <c r="E19" s="9">
        <f>SUM(E11:E18)</f>
        <v>1132982.81</v>
      </c>
      <c r="F19" s="9">
        <f>SUM(F11:F18)</f>
        <v>-431414.44000000024</v>
      </c>
      <c r="H19" s="226" t="s">
        <v>125</v>
      </c>
    </row>
    <row r="20" ht="15.75"/>
    <row r="21" spans="1:10" ht="15.75">
      <c r="A21" s="147" t="s">
        <v>25</v>
      </c>
      <c r="B21" s="147"/>
      <c r="C21" s="147"/>
      <c r="D21" s="147"/>
      <c r="E21" s="147"/>
      <c r="F21" s="147"/>
      <c r="H21" s="8" t="s">
        <v>90</v>
      </c>
      <c r="I21" s="148"/>
      <c r="J21" s="148"/>
    </row>
    <row r="22" spans="1:10" ht="33" customHeight="1">
      <c r="A22" s="111"/>
      <c r="B22" s="111"/>
      <c r="C22" s="111"/>
      <c r="D22" s="111"/>
      <c r="E22" s="111"/>
      <c r="F22" s="111"/>
      <c r="G22" s="26"/>
      <c r="H22" s="8">
        <f>D5</f>
        <v>7921.7</v>
      </c>
      <c r="I22" s="16"/>
      <c r="J22" s="16"/>
    </row>
    <row r="23" spans="1:10" ht="30" customHeight="1">
      <c r="A23" s="21" t="s">
        <v>42</v>
      </c>
      <c r="B23" s="149" t="s">
        <v>6</v>
      </c>
      <c r="C23" s="149"/>
      <c r="D23" s="149"/>
      <c r="E23" s="149"/>
      <c r="F23" s="25" t="s">
        <v>13</v>
      </c>
      <c r="G23" s="16"/>
      <c r="I23" s="16"/>
      <c r="J23" s="16"/>
    </row>
    <row r="24" spans="1:10" ht="18" customHeight="1">
      <c r="A24" s="21">
        <v>1</v>
      </c>
      <c r="B24" s="255" t="s">
        <v>7</v>
      </c>
      <c r="C24" s="255"/>
      <c r="D24" s="255"/>
      <c r="E24" s="255"/>
      <c r="F24" s="9">
        <f>I12</f>
        <v>249058.248</v>
      </c>
      <c r="G24" s="16"/>
      <c r="I24" s="18"/>
      <c r="J24" s="18"/>
    </row>
    <row r="25" spans="1:10" ht="18" customHeight="1">
      <c r="A25" s="21">
        <v>2</v>
      </c>
      <c r="B25" s="255" t="s">
        <v>8</v>
      </c>
      <c r="C25" s="255"/>
      <c r="D25" s="255"/>
      <c r="E25" s="255"/>
      <c r="F25" s="9">
        <f>0.24*9*H22+0.71*3*H22</f>
        <v>33984.09299999999</v>
      </c>
      <c r="I25" s="18"/>
      <c r="J25" s="18"/>
    </row>
    <row r="26" spans="1:10" ht="18" customHeight="1">
      <c r="A26" s="21">
        <v>3</v>
      </c>
      <c r="B26" s="255" t="s">
        <v>30</v>
      </c>
      <c r="C26" s="255"/>
      <c r="D26" s="255"/>
      <c r="E26" s="255"/>
      <c r="F26" s="9">
        <f>I13</f>
        <v>206281.068</v>
      </c>
      <c r="I26" s="98"/>
      <c r="J26" s="16"/>
    </row>
    <row r="27" spans="1:9" ht="16.5" customHeight="1">
      <c r="A27" s="21">
        <v>4</v>
      </c>
      <c r="B27" s="255" t="s">
        <v>31</v>
      </c>
      <c r="C27" s="255"/>
      <c r="D27" s="255"/>
      <c r="E27" s="255"/>
      <c r="F27" s="9">
        <f>D13</f>
        <v>98925.56999999999</v>
      </c>
      <c r="G27" s="86"/>
      <c r="I27" s="16"/>
    </row>
    <row r="28" spans="1:7" ht="16.5" customHeight="1">
      <c r="A28" s="21">
        <v>5</v>
      </c>
      <c r="B28" s="255" t="s">
        <v>9</v>
      </c>
      <c r="C28" s="255"/>
      <c r="D28" s="255"/>
      <c r="E28" s="255"/>
      <c r="F28" s="9">
        <f>F29+F30+F32+F31</f>
        <v>221871</v>
      </c>
      <c r="G28" s="18"/>
    </row>
    <row r="29" spans="1:7" ht="16.5" customHeight="1">
      <c r="A29" s="21" t="s">
        <v>10</v>
      </c>
      <c r="B29" s="255" t="s">
        <v>32</v>
      </c>
      <c r="C29" s="255"/>
      <c r="D29" s="255"/>
      <c r="E29" s="255"/>
      <c r="F29" s="9">
        <f>F74+F75+F76+F77+F78</f>
        <v>4378</v>
      </c>
      <c r="G29" s="16"/>
    </row>
    <row r="30" spans="1:7" ht="16.5" customHeight="1">
      <c r="A30" s="21" t="s">
        <v>10</v>
      </c>
      <c r="B30" s="255" t="s">
        <v>33</v>
      </c>
      <c r="C30" s="255"/>
      <c r="D30" s="255"/>
      <c r="E30" s="255"/>
      <c r="F30" s="9">
        <f>F52+F53+F54+F55+F56+F57+F58+F59+F60+F61+F62+F63+F64+F67+F69+F72+F73</f>
        <v>27018</v>
      </c>
      <c r="G30" s="16"/>
    </row>
    <row r="31" spans="1:7" ht="17.25" customHeight="1">
      <c r="A31" s="21" t="s">
        <v>10</v>
      </c>
      <c r="B31" s="255" t="s">
        <v>34</v>
      </c>
      <c r="C31" s="255"/>
      <c r="D31" s="255"/>
      <c r="E31" s="255"/>
      <c r="F31" s="9">
        <f>F79+F80+F81+F82+F83+F84+F85+F86+F95</f>
        <v>183885</v>
      </c>
      <c r="G31" s="16"/>
    </row>
    <row r="32" spans="1:7" ht="17.25" customHeight="1">
      <c r="A32" s="21" t="s">
        <v>10</v>
      </c>
      <c r="B32" s="255" t="s">
        <v>74</v>
      </c>
      <c r="C32" s="255"/>
      <c r="D32" s="255"/>
      <c r="E32" s="255"/>
      <c r="F32" s="9">
        <f>F51+F65+F66+F68+F70+F71</f>
        <v>6590</v>
      </c>
      <c r="G32" s="16"/>
    </row>
    <row r="33" spans="1:7" ht="17.25" customHeight="1">
      <c r="A33" s="21">
        <v>6</v>
      </c>
      <c r="B33" s="256" t="s">
        <v>70</v>
      </c>
      <c r="C33" s="256"/>
      <c r="D33" s="256"/>
      <c r="E33" s="256"/>
      <c r="F33" s="9">
        <f>F92+F93+F94</f>
        <v>2935</v>
      </c>
      <c r="G33" s="16"/>
    </row>
    <row r="34" spans="1:7" ht="17.25" customHeight="1">
      <c r="A34" s="21">
        <v>7</v>
      </c>
      <c r="B34" s="256" t="s">
        <v>162</v>
      </c>
      <c r="C34" s="256"/>
      <c r="D34" s="256"/>
      <c r="E34" s="256"/>
      <c r="F34" s="9">
        <f>F96+F97</f>
        <v>2100</v>
      </c>
      <c r="G34" s="16"/>
    </row>
    <row r="35" spans="1:7" ht="17.25" customHeight="1">
      <c r="A35" s="21">
        <v>8</v>
      </c>
      <c r="B35" s="256" t="s">
        <v>2</v>
      </c>
      <c r="C35" s="256"/>
      <c r="D35" s="256"/>
      <c r="E35" s="256"/>
      <c r="F35" s="9">
        <f>D12</f>
        <v>265396.1</v>
      </c>
      <c r="G35" s="16"/>
    </row>
    <row r="36" spans="1:7" s="32" customFormat="1" ht="15.75">
      <c r="A36" s="21">
        <v>9</v>
      </c>
      <c r="B36" s="256" t="s">
        <v>4</v>
      </c>
      <c r="C36" s="256"/>
      <c r="D36" s="256"/>
      <c r="E36" s="256"/>
      <c r="F36" s="9">
        <f>D14</f>
        <v>10641.36</v>
      </c>
      <c r="G36" s="14"/>
    </row>
    <row r="37" spans="1:6" ht="15.75">
      <c r="A37" s="21">
        <v>10</v>
      </c>
      <c r="B37" s="256" t="s">
        <v>75</v>
      </c>
      <c r="C37" s="256"/>
      <c r="D37" s="256"/>
      <c r="E37" s="256"/>
      <c r="F37" s="9">
        <f>D15</f>
        <v>46976.57000000001</v>
      </c>
    </row>
    <row r="38" spans="1:6" ht="15.75">
      <c r="A38" s="21">
        <v>11</v>
      </c>
      <c r="B38" s="256" t="s">
        <v>168</v>
      </c>
      <c r="C38" s="256"/>
      <c r="D38" s="256"/>
      <c r="E38" s="256"/>
      <c r="F38" s="9">
        <f>F87+F98+F99+F100</f>
        <v>6600</v>
      </c>
    </row>
    <row r="39" spans="1:6" ht="15.75" customHeight="1">
      <c r="A39" s="21">
        <v>12</v>
      </c>
      <c r="B39" s="190" t="s">
        <v>166</v>
      </c>
      <c r="C39" s="191"/>
      <c r="D39" s="191"/>
      <c r="E39" s="192"/>
      <c r="F39" s="9">
        <f>F101+F102</f>
        <v>3550</v>
      </c>
    </row>
    <row r="40" spans="1:6" ht="15.75">
      <c r="A40" s="21">
        <v>13</v>
      </c>
      <c r="B40" s="256" t="s">
        <v>126</v>
      </c>
      <c r="C40" s="256"/>
      <c r="D40" s="256"/>
      <c r="E40" s="256"/>
      <c r="F40" s="9">
        <f>D16</f>
        <v>5255.740000000001</v>
      </c>
    </row>
    <row r="41" spans="1:6" ht="15.75">
      <c r="A41" s="21">
        <v>14</v>
      </c>
      <c r="B41" s="256" t="s">
        <v>127</v>
      </c>
      <c r="C41" s="256"/>
      <c r="D41" s="256"/>
      <c r="E41" s="256"/>
      <c r="F41" s="9">
        <f>D17</f>
        <v>2826.9700000000003</v>
      </c>
    </row>
    <row r="42" spans="1:6" ht="15.75">
      <c r="A42" s="21">
        <v>15</v>
      </c>
      <c r="B42" s="256" t="s">
        <v>128</v>
      </c>
      <c r="C42" s="256"/>
      <c r="D42" s="256"/>
      <c r="E42" s="256"/>
      <c r="F42" s="9">
        <f>D18</f>
        <v>31201.460000000003</v>
      </c>
    </row>
    <row r="43" spans="1:6" ht="18" customHeight="1">
      <c r="A43" s="112"/>
      <c r="B43" s="257" t="s">
        <v>11</v>
      </c>
      <c r="C43" s="257"/>
      <c r="D43" s="257"/>
      <c r="E43" s="257"/>
      <c r="F43" s="36">
        <f>F24+F25+F26+F27+F28+F35+F37+F33+F36+F38+F34+F39+F40+F41+F42</f>
        <v>1187603.179</v>
      </c>
    </row>
    <row r="44" ht="15.75"/>
    <row r="45" spans="1:6" ht="18" customHeight="1">
      <c r="A45" s="142" t="s">
        <v>134</v>
      </c>
      <c r="B45" s="143"/>
      <c r="C45" s="143"/>
      <c r="D45" s="143"/>
      <c r="E45" s="144"/>
      <c r="F45" s="6">
        <f>D19-F43+D7</f>
        <v>225542.96761617786</v>
      </c>
    </row>
    <row r="46" spans="1:7" ht="16.5" customHeight="1">
      <c r="A46" s="137" t="s">
        <v>135</v>
      </c>
      <c r="B46" s="137"/>
      <c r="C46" s="137"/>
      <c r="D46" s="137"/>
      <c r="E46" s="137"/>
      <c r="F46" s="6">
        <f>F19</f>
        <v>-431414.44000000024</v>
      </c>
      <c r="G46" s="95"/>
    </row>
    <row r="47" spans="1:7" ht="15.75">
      <c r="A47" s="138" t="s">
        <v>65</v>
      </c>
      <c r="B47" s="138"/>
      <c r="C47" s="138"/>
      <c r="D47" s="138"/>
      <c r="E47" s="138"/>
      <c r="F47" s="6">
        <f>F46+F45</f>
        <v>-205871.47238382237</v>
      </c>
      <c r="G47" s="86"/>
    </row>
    <row r="48" ht="15.75"/>
    <row r="49" spans="1:6" s="40" customFormat="1" ht="30" customHeight="1">
      <c r="A49" s="15"/>
      <c r="B49" s="8"/>
      <c r="C49" s="8"/>
      <c r="D49" s="8"/>
      <c r="E49" s="8"/>
      <c r="F49" s="8"/>
    </row>
    <row r="50" spans="1:6" ht="15.75">
      <c r="A50" s="33" t="s">
        <v>21</v>
      </c>
      <c r="B50" s="33" t="s">
        <v>12</v>
      </c>
      <c r="C50" s="139" t="s">
        <v>35</v>
      </c>
      <c r="D50" s="140"/>
      <c r="E50" s="141"/>
      <c r="F50" s="33" t="s">
        <v>36</v>
      </c>
    </row>
    <row r="51" spans="1:6" ht="45">
      <c r="A51" s="33"/>
      <c r="B51" s="252" t="s">
        <v>167</v>
      </c>
      <c r="C51" s="214" t="s">
        <v>41</v>
      </c>
      <c r="D51" s="215"/>
      <c r="E51" s="216"/>
      <c r="F51" s="253">
        <f>170*7</f>
        <v>1190</v>
      </c>
    </row>
    <row r="52" spans="1:6" ht="15.75" customHeight="1">
      <c r="A52" s="33"/>
      <c r="B52" s="230">
        <v>42766</v>
      </c>
      <c r="C52" s="231" t="s">
        <v>136</v>
      </c>
      <c r="D52" s="232"/>
      <c r="E52" s="233"/>
      <c r="F52" s="234">
        <v>669</v>
      </c>
    </row>
    <row r="53" spans="1:6" ht="15.75" customHeight="1">
      <c r="A53" s="235"/>
      <c r="B53" s="230">
        <v>42775</v>
      </c>
      <c r="C53" s="231" t="s">
        <v>137</v>
      </c>
      <c r="D53" s="232"/>
      <c r="E53" s="233"/>
      <c r="F53" s="234">
        <v>1664</v>
      </c>
    </row>
    <row r="54" spans="1:6" ht="15.75" customHeight="1">
      <c r="A54" s="235"/>
      <c r="B54" s="230">
        <v>42775</v>
      </c>
      <c r="C54" s="231" t="s">
        <v>138</v>
      </c>
      <c r="D54" s="232"/>
      <c r="E54" s="233"/>
      <c r="F54" s="234">
        <v>560</v>
      </c>
    </row>
    <row r="55" spans="1:6" ht="15.75" customHeight="1">
      <c r="A55" s="235"/>
      <c r="B55" s="230">
        <v>42776</v>
      </c>
      <c r="C55" s="231" t="s">
        <v>139</v>
      </c>
      <c r="D55" s="232"/>
      <c r="E55" s="233"/>
      <c r="F55" s="234">
        <v>554</v>
      </c>
    </row>
    <row r="56" spans="1:6" ht="15.75" customHeight="1">
      <c r="A56" s="235"/>
      <c r="B56" s="230">
        <v>42782</v>
      </c>
      <c r="C56" s="231" t="s">
        <v>140</v>
      </c>
      <c r="D56" s="232"/>
      <c r="E56" s="233"/>
      <c r="F56" s="234">
        <v>425</v>
      </c>
    </row>
    <row r="57" spans="1:6" ht="15.75" customHeight="1">
      <c r="A57" s="235"/>
      <c r="B57" s="230">
        <v>42795</v>
      </c>
      <c r="C57" s="231" t="s">
        <v>138</v>
      </c>
      <c r="D57" s="232"/>
      <c r="E57" s="233"/>
      <c r="F57" s="234">
        <v>508</v>
      </c>
    </row>
    <row r="58" spans="1:6" ht="15.75" customHeight="1">
      <c r="A58" s="235"/>
      <c r="B58" s="230">
        <v>42810</v>
      </c>
      <c r="C58" s="231" t="s">
        <v>136</v>
      </c>
      <c r="D58" s="232"/>
      <c r="E58" s="233"/>
      <c r="F58" s="234">
        <v>1129</v>
      </c>
    </row>
    <row r="59" spans="1:6" ht="15.75" customHeight="1">
      <c r="A59" s="235"/>
      <c r="B59" s="230">
        <v>42817</v>
      </c>
      <c r="C59" s="231" t="s">
        <v>140</v>
      </c>
      <c r="D59" s="232"/>
      <c r="E59" s="233"/>
      <c r="F59" s="234">
        <v>850</v>
      </c>
    </row>
    <row r="60" spans="1:6" ht="15.75" customHeight="1">
      <c r="A60" s="235"/>
      <c r="B60" s="230">
        <v>42846</v>
      </c>
      <c r="C60" s="231" t="s">
        <v>140</v>
      </c>
      <c r="D60" s="232"/>
      <c r="E60" s="233"/>
      <c r="F60" s="234">
        <v>425</v>
      </c>
    </row>
    <row r="61" spans="1:6" ht="15.75" customHeight="1">
      <c r="A61" s="235"/>
      <c r="B61" s="230">
        <v>42885</v>
      </c>
      <c r="C61" s="231" t="s">
        <v>140</v>
      </c>
      <c r="D61" s="232"/>
      <c r="E61" s="233"/>
      <c r="F61" s="234">
        <v>850</v>
      </c>
    </row>
    <row r="62" spans="1:6" ht="15.75" customHeight="1">
      <c r="A62" s="235"/>
      <c r="B62" s="230">
        <v>42870</v>
      </c>
      <c r="C62" s="231" t="s">
        <v>141</v>
      </c>
      <c r="D62" s="232"/>
      <c r="E62" s="233"/>
      <c r="F62" s="234">
        <v>844</v>
      </c>
    </row>
    <row r="63" spans="1:6" ht="15.75" customHeight="1">
      <c r="A63" s="235"/>
      <c r="B63" s="230">
        <v>42905</v>
      </c>
      <c r="C63" s="231" t="s">
        <v>139</v>
      </c>
      <c r="D63" s="232"/>
      <c r="E63" s="233"/>
      <c r="F63" s="234">
        <v>477</v>
      </c>
    </row>
    <row r="64" spans="1:6" s="32" customFormat="1" ht="31.5" customHeight="1">
      <c r="A64" s="235"/>
      <c r="B64" s="230">
        <v>42899</v>
      </c>
      <c r="C64" s="236" t="s">
        <v>142</v>
      </c>
      <c r="D64" s="237"/>
      <c r="E64" s="238"/>
      <c r="F64" s="234">
        <v>15553</v>
      </c>
    </row>
    <row r="65" spans="1:6" ht="30" customHeight="1">
      <c r="A65" s="235"/>
      <c r="B65" s="230">
        <v>42978</v>
      </c>
      <c r="C65" s="231" t="s">
        <v>143</v>
      </c>
      <c r="D65" s="232"/>
      <c r="E65" s="233"/>
      <c r="F65" s="234">
        <v>1080</v>
      </c>
    </row>
    <row r="66" spans="1:6" s="32" customFormat="1" ht="15.75" customHeight="1">
      <c r="A66" s="235"/>
      <c r="B66" s="230">
        <v>43008</v>
      </c>
      <c r="C66" s="231" t="s">
        <v>143</v>
      </c>
      <c r="D66" s="232"/>
      <c r="E66" s="233"/>
      <c r="F66" s="234">
        <v>1080</v>
      </c>
    </row>
    <row r="67" spans="1:6" ht="15.75" customHeight="1">
      <c r="A67" s="235"/>
      <c r="B67" s="230">
        <v>43017</v>
      </c>
      <c r="C67" s="231" t="s">
        <v>139</v>
      </c>
      <c r="D67" s="232"/>
      <c r="E67" s="233"/>
      <c r="F67" s="234">
        <v>566</v>
      </c>
    </row>
    <row r="68" spans="1:6" ht="15.75" customHeight="1">
      <c r="A68" s="235"/>
      <c r="B68" s="230">
        <v>43039</v>
      </c>
      <c r="C68" s="231" t="s">
        <v>143</v>
      </c>
      <c r="D68" s="232"/>
      <c r="E68" s="233"/>
      <c r="F68" s="234">
        <v>1080</v>
      </c>
    </row>
    <row r="69" spans="1:6" ht="15.75" customHeight="1">
      <c r="A69" s="235"/>
      <c r="B69" s="230">
        <v>43047</v>
      </c>
      <c r="C69" s="231" t="s">
        <v>139</v>
      </c>
      <c r="D69" s="232"/>
      <c r="E69" s="233"/>
      <c r="F69" s="234">
        <v>496</v>
      </c>
    </row>
    <row r="70" spans="1:6" ht="15.75" customHeight="1">
      <c r="A70" s="235"/>
      <c r="B70" s="230">
        <v>43069</v>
      </c>
      <c r="C70" s="231" t="s">
        <v>143</v>
      </c>
      <c r="D70" s="232"/>
      <c r="E70" s="233"/>
      <c r="F70" s="234">
        <v>1080</v>
      </c>
    </row>
    <row r="71" spans="1:6" ht="15.75" customHeight="1">
      <c r="A71" s="235"/>
      <c r="B71" s="230">
        <v>43098</v>
      </c>
      <c r="C71" s="231" t="s">
        <v>143</v>
      </c>
      <c r="D71" s="232"/>
      <c r="E71" s="233"/>
      <c r="F71" s="234">
        <v>1080</v>
      </c>
    </row>
    <row r="72" spans="1:6" ht="15.75" customHeight="1">
      <c r="A72" s="235"/>
      <c r="B72" s="230">
        <v>43074</v>
      </c>
      <c r="C72" s="231" t="s">
        <v>144</v>
      </c>
      <c r="D72" s="232"/>
      <c r="E72" s="233"/>
      <c r="F72" s="234">
        <v>460</v>
      </c>
    </row>
    <row r="73" spans="1:6" s="32" customFormat="1" ht="15.75" customHeight="1">
      <c r="A73" s="235"/>
      <c r="B73" s="230">
        <v>43083</v>
      </c>
      <c r="C73" s="231" t="s">
        <v>136</v>
      </c>
      <c r="D73" s="232"/>
      <c r="E73" s="233"/>
      <c r="F73" s="234">
        <v>988</v>
      </c>
    </row>
    <row r="74" spans="1:6" ht="15.75" customHeight="1">
      <c r="A74" s="235"/>
      <c r="B74" s="230">
        <v>42804</v>
      </c>
      <c r="C74" s="231" t="s">
        <v>145</v>
      </c>
      <c r="D74" s="232"/>
      <c r="E74" s="233"/>
      <c r="F74" s="239">
        <v>654</v>
      </c>
    </row>
    <row r="75" spans="1:6" s="32" customFormat="1" ht="30" customHeight="1">
      <c r="A75" s="235"/>
      <c r="B75" s="230">
        <v>42823</v>
      </c>
      <c r="C75" s="231" t="s">
        <v>145</v>
      </c>
      <c r="D75" s="232"/>
      <c r="E75" s="233"/>
      <c r="F75" s="239">
        <v>654</v>
      </c>
    </row>
    <row r="76" spans="1:6" ht="15.75" customHeight="1">
      <c r="A76" s="235"/>
      <c r="B76" s="230">
        <v>42830</v>
      </c>
      <c r="C76" s="231" t="s">
        <v>145</v>
      </c>
      <c r="D76" s="232"/>
      <c r="E76" s="233"/>
      <c r="F76" s="239">
        <v>1208</v>
      </c>
    </row>
    <row r="77" spans="1:6" ht="15.75" customHeight="1">
      <c r="A77" s="235"/>
      <c r="B77" s="230">
        <v>42865</v>
      </c>
      <c r="C77" s="231" t="s">
        <v>145</v>
      </c>
      <c r="D77" s="232"/>
      <c r="E77" s="233"/>
      <c r="F77" s="239">
        <v>1208</v>
      </c>
    </row>
    <row r="78" spans="1:6" ht="15.75" customHeight="1">
      <c r="A78" s="235"/>
      <c r="B78" s="230">
        <v>43013</v>
      </c>
      <c r="C78" s="231" t="s">
        <v>145</v>
      </c>
      <c r="D78" s="232"/>
      <c r="E78" s="233"/>
      <c r="F78" s="239">
        <v>654</v>
      </c>
    </row>
    <row r="79" spans="1:6" ht="31.5" customHeight="1">
      <c r="A79" s="235"/>
      <c r="B79" s="230">
        <v>42825</v>
      </c>
      <c r="C79" s="231" t="s">
        <v>146</v>
      </c>
      <c r="D79" s="232"/>
      <c r="E79" s="233"/>
      <c r="F79" s="240">
        <v>22559</v>
      </c>
    </row>
    <row r="80" spans="1:6" ht="15.75" customHeight="1">
      <c r="A80" s="235"/>
      <c r="B80" s="230">
        <v>42814</v>
      </c>
      <c r="C80" s="231" t="s">
        <v>147</v>
      </c>
      <c r="D80" s="232"/>
      <c r="E80" s="233"/>
      <c r="F80" s="240">
        <v>2593</v>
      </c>
    </row>
    <row r="81" spans="1:6" ht="31.5">
      <c r="A81" s="235"/>
      <c r="B81" s="230">
        <v>42853</v>
      </c>
      <c r="C81" s="241" t="s">
        <v>111</v>
      </c>
      <c r="D81" s="242"/>
      <c r="E81" s="243"/>
      <c r="F81" s="240">
        <v>63030</v>
      </c>
    </row>
    <row r="82" spans="1:6" ht="15.75" customHeight="1">
      <c r="A82" s="235"/>
      <c r="B82" s="235" t="s">
        <v>148</v>
      </c>
      <c r="C82" s="231" t="s">
        <v>149</v>
      </c>
      <c r="D82" s="232"/>
      <c r="E82" s="233"/>
      <c r="F82" s="240">
        <v>7330</v>
      </c>
    </row>
    <row r="83" spans="1:6" ht="15.75" customHeight="1">
      <c r="A83" s="235"/>
      <c r="B83" s="235" t="s">
        <v>150</v>
      </c>
      <c r="C83" s="231" t="s">
        <v>151</v>
      </c>
      <c r="D83" s="232"/>
      <c r="E83" s="233"/>
      <c r="F83" s="240">
        <v>3119</v>
      </c>
    </row>
    <row r="84" spans="1:6" ht="15.75" customHeight="1">
      <c r="A84" s="235"/>
      <c r="B84" s="230">
        <v>42886</v>
      </c>
      <c r="C84" s="231" t="s">
        <v>152</v>
      </c>
      <c r="D84" s="232"/>
      <c r="E84" s="233"/>
      <c r="F84" s="240">
        <v>22479</v>
      </c>
    </row>
    <row r="85" spans="1:6" s="32" customFormat="1" ht="15.75" customHeight="1">
      <c r="A85" s="235"/>
      <c r="B85" s="230">
        <v>42886</v>
      </c>
      <c r="C85" s="231" t="s">
        <v>153</v>
      </c>
      <c r="D85" s="232"/>
      <c r="E85" s="233"/>
      <c r="F85" s="240">
        <v>22455</v>
      </c>
    </row>
    <row r="86" spans="1:6" ht="15.75">
      <c r="A86" s="235"/>
      <c r="B86" s="230">
        <v>43098</v>
      </c>
      <c r="C86" s="244" t="s">
        <v>111</v>
      </c>
      <c r="D86" s="237"/>
      <c r="E86" s="238"/>
      <c r="F86" s="240">
        <v>30870</v>
      </c>
    </row>
    <row r="87" spans="1:6" s="32" customFormat="1" ht="15.75" customHeight="1">
      <c r="A87" s="235"/>
      <c r="B87" s="230">
        <v>42855</v>
      </c>
      <c r="C87" s="231" t="s">
        <v>154</v>
      </c>
      <c r="D87" s="232"/>
      <c r="E87" s="233"/>
      <c r="F87" s="235">
        <v>1812</v>
      </c>
    </row>
    <row r="88" spans="1:6" ht="15.75">
      <c r="A88" s="235"/>
      <c r="B88" s="230">
        <v>42886</v>
      </c>
      <c r="C88" s="241" t="s">
        <v>155</v>
      </c>
      <c r="D88" s="242"/>
      <c r="E88" s="243"/>
      <c r="F88" s="235">
        <v>1542</v>
      </c>
    </row>
    <row r="89" spans="1:6" ht="15.75">
      <c r="A89" s="235"/>
      <c r="B89" s="230">
        <v>42916</v>
      </c>
      <c r="C89" s="241" t="s">
        <v>155</v>
      </c>
      <c r="D89" s="242"/>
      <c r="E89" s="243"/>
      <c r="F89" s="235">
        <v>1823</v>
      </c>
    </row>
    <row r="90" spans="1:6" ht="15.75">
      <c r="A90" s="235"/>
      <c r="B90" s="230">
        <v>42978</v>
      </c>
      <c r="C90" s="241" t="s">
        <v>155</v>
      </c>
      <c r="D90" s="242"/>
      <c r="E90" s="243"/>
      <c r="F90" s="235">
        <v>1542</v>
      </c>
    </row>
    <row r="91" spans="1:6" ht="15.75">
      <c r="A91" s="235"/>
      <c r="B91" s="230" t="s">
        <v>156</v>
      </c>
      <c r="C91" s="241" t="s">
        <v>155</v>
      </c>
      <c r="D91" s="242"/>
      <c r="E91" s="243"/>
      <c r="F91" s="235">
        <v>1542</v>
      </c>
    </row>
    <row r="92" spans="1:6" ht="15.75">
      <c r="A92" s="235"/>
      <c r="B92" s="230">
        <v>42865</v>
      </c>
      <c r="C92" s="248" t="s">
        <v>157</v>
      </c>
      <c r="D92" s="249"/>
      <c r="E92" s="250"/>
      <c r="F92" s="251">
        <f>1500*0.67</f>
        <v>1005.0000000000001</v>
      </c>
    </row>
    <row r="93" spans="1:6" ht="15.75">
      <c r="A93" s="235"/>
      <c r="B93" s="230">
        <v>43034</v>
      </c>
      <c r="C93" s="248" t="s">
        <v>158</v>
      </c>
      <c r="D93" s="249"/>
      <c r="E93" s="250"/>
      <c r="F93" s="251">
        <v>550</v>
      </c>
    </row>
    <row r="94" spans="1:6" ht="15.75">
      <c r="A94" s="235"/>
      <c r="B94" s="230">
        <v>42938</v>
      </c>
      <c r="C94" s="248" t="s">
        <v>159</v>
      </c>
      <c r="D94" s="249"/>
      <c r="E94" s="250"/>
      <c r="F94" s="251">
        <v>1380</v>
      </c>
    </row>
    <row r="95" spans="1:6" ht="15.75">
      <c r="A95" s="235"/>
      <c r="B95" s="230">
        <v>42964</v>
      </c>
      <c r="C95" s="248" t="s">
        <v>160</v>
      </c>
      <c r="D95" s="249"/>
      <c r="E95" s="250"/>
      <c r="F95" s="240">
        <v>9450</v>
      </c>
    </row>
    <row r="96" spans="1:6" ht="15.75">
      <c r="A96" s="235"/>
      <c r="B96" s="230">
        <v>42912</v>
      </c>
      <c r="C96" s="248" t="s">
        <v>162</v>
      </c>
      <c r="D96" s="249"/>
      <c r="E96" s="250"/>
      <c r="F96" s="254">
        <v>1000</v>
      </c>
    </row>
    <row r="97" spans="1:6" ht="15.75">
      <c r="A97" s="235"/>
      <c r="B97" s="230">
        <v>43051</v>
      </c>
      <c r="C97" s="248" t="s">
        <v>163</v>
      </c>
      <c r="D97" s="249"/>
      <c r="E97" s="250"/>
      <c r="F97" s="254">
        <v>1100</v>
      </c>
    </row>
    <row r="98" spans="1:6" ht="15.75">
      <c r="A98" s="235"/>
      <c r="B98" s="230">
        <v>42871</v>
      </c>
      <c r="C98" s="231" t="s">
        <v>164</v>
      </c>
      <c r="D98" s="232"/>
      <c r="E98" s="233"/>
      <c r="F98" s="235">
        <v>2218</v>
      </c>
    </row>
    <row r="99" spans="1:6" ht="15.75">
      <c r="A99" s="235"/>
      <c r="B99" s="230">
        <v>42877</v>
      </c>
      <c r="C99" s="231" t="s">
        <v>165</v>
      </c>
      <c r="D99" s="232"/>
      <c r="E99" s="233"/>
      <c r="F99" s="235">
        <v>1666</v>
      </c>
    </row>
    <row r="100" spans="1:6" ht="15.75">
      <c r="A100" s="235"/>
      <c r="B100" s="230">
        <v>43010</v>
      </c>
      <c r="C100" s="231" t="s">
        <v>161</v>
      </c>
      <c r="D100" s="232"/>
      <c r="E100" s="233"/>
      <c r="F100" s="235">
        <v>904</v>
      </c>
    </row>
    <row r="101" spans="1:6" ht="15.75">
      <c r="A101" s="235"/>
      <c r="B101" s="230">
        <v>43031</v>
      </c>
      <c r="C101" s="248" t="s">
        <v>166</v>
      </c>
      <c r="D101" s="249"/>
      <c r="E101" s="250"/>
      <c r="F101" s="235">
        <v>2550</v>
      </c>
    </row>
    <row r="102" spans="1:6" ht="15.75">
      <c r="A102" s="235"/>
      <c r="B102" s="230">
        <v>43083</v>
      </c>
      <c r="C102" s="248" t="s">
        <v>166</v>
      </c>
      <c r="D102" s="249"/>
      <c r="E102" s="250"/>
      <c r="F102" s="235">
        <v>1000</v>
      </c>
    </row>
    <row r="103" spans="1:6" ht="15.75">
      <c r="A103" s="235"/>
      <c r="B103" s="230"/>
      <c r="C103" s="241"/>
      <c r="D103" s="242"/>
      <c r="E103" s="243"/>
      <c r="F103" s="235"/>
    </row>
    <row r="104" spans="1:6" ht="15.75">
      <c r="A104" s="113"/>
      <c r="B104" s="10"/>
      <c r="C104" s="193"/>
      <c r="D104" s="194"/>
      <c r="E104" s="195"/>
      <c r="F104" s="11"/>
    </row>
    <row r="105" spans="1:6" ht="15.75">
      <c r="A105" s="120" t="s">
        <v>37</v>
      </c>
      <c r="B105" s="120"/>
      <c r="C105" s="120"/>
      <c r="D105" s="120"/>
      <c r="E105" s="120"/>
      <c r="F105" s="36">
        <f>SUM(F51:F104)</f>
        <v>243505</v>
      </c>
    </row>
    <row r="106" spans="1:6" ht="15.75">
      <c r="A106" s="245"/>
      <c r="B106" s="246"/>
      <c r="C106" s="246"/>
      <c r="D106" s="247"/>
      <c r="E106" s="245"/>
      <c r="F106" s="245"/>
    </row>
    <row r="107" spans="1:6" s="32" customFormat="1" ht="15.75">
      <c r="A107" s="245"/>
      <c r="B107" s="246"/>
      <c r="C107" s="246"/>
      <c r="D107" s="247"/>
      <c r="E107" s="245"/>
      <c r="F107" s="245"/>
    </row>
    <row r="108" spans="1:6" ht="12.75" customHeight="1">
      <c r="A108" s="245"/>
      <c r="B108" s="245"/>
      <c r="C108" s="245"/>
      <c r="D108" s="245"/>
      <c r="E108" s="245"/>
      <c r="F108" s="245"/>
    </row>
    <row r="109" spans="1:6" ht="12.75" customHeight="1">
      <c r="A109" s="245"/>
      <c r="B109" s="245"/>
      <c r="C109" s="245"/>
      <c r="D109" s="245"/>
      <c r="E109" s="245"/>
      <c r="F109" s="245"/>
    </row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1" ht="15.75"/>
    <row r="132" ht="15.75"/>
    <row r="133" ht="15.75"/>
    <row r="134" ht="15.75"/>
    <row r="135" ht="15.75"/>
    <row r="136" ht="15.75"/>
    <row r="137" ht="15.75"/>
  </sheetData>
  <sheetProtection/>
  <mergeCells count="76">
    <mergeCell ref="B39:E39"/>
    <mergeCell ref="C99:E99"/>
    <mergeCell ref="C101:E101"/>
    <mergeCell ref="C102:E102"/>
    <mergeCell ref="C51:E51"/>
    <mergeCell ref="C96:E96"/>
    <mergeCell ref="C97:E97"/>
    <mergeCell ref="C98:E98"/>
    <mergeCell ref="C94:E94"/>
    <mergeCell ref="C95:E95"/>
    <mergeCell ref="C100:E100"/>
    <mergeCell ref="C92:E92"/>
    <mergeCell ref="A105:E105"/>
    <mergeCell ref="C93:E93"/>
    <mergeCell ref="C87:E87"/>
    <mergeCell ref="C104:E104"/>
    <mergeCell ref="C82:E82"/>
    <mergeCell ref="C83:E83"/>
    <mergeCell ref="C84:E84"/>
    <mergeCell ref="C85:E85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0:E50"/>
    <mergeCell ref="C52:E52"/>
    <mergeCell ref="C53:E53"/>
    <mergeCell ref="C54:E54"/>
    <mergeCell ref="C55:E55"/>
    <mergeCell ref="C56:E56"/>
    <mergeCell ref="B37:E37"/>
    <mergeCell ref="B38:E38"/>
    <mergeCell ref="B43:E43"/>
    <mergeCell ref="A45:E45"/>
    <mergeCell ref="A46:E46"/>
    <mergeCell ref="A47:E47"/>
    <mergeCell ref="B40:E40"/>
    <mergeCell ref="B41:E41"/>
    <mergeCell ref="B42:E42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A1:F1"/>
    <mergeCell ref="A2:F2"/>
    <mergeCell ref="A21:F21"/>
    <mergeCell ref="I21:J21"/>
    <mergeCell ref="B23:E23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90"/>
  <sheetViews>
    <sheetView view="pageBreakPreview" zoomScaleSheetLayoutView="100" zoomScalePageLayoutView="0" workbookViewId="0" topLeftCell="A24">
      <selection activeCell="F11" sqref="F11:F15"/>
    </sheetView>
  </sheetViews>
  <sheetFormatPr defaultColWidth="9.140625" defaultRowHeight="12.75" outlineLevelRow="1"/>
  <cols>
    <col min="1" max="1" width="4.421875" style="15" customWidth="1"/>
    <col min="2" max="2" width="15.140625" style="8" customWidth="1"/>
    <col min="3" max="3" width="15.57421875" style="8" customWidth="1"/>
    <col min="4" max="4" width="13.57421875" style="8" customWidth="1"/>
    <col min="5" max="5" width="17.8515625" style="8" customWidth="1"/>
    <col min="6" max="6" width="18.140625" style="8" customWidth="1"/>
    <col min="7" max="7" width="12.710937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47" t="s">
        <v>86</v>
      </c>
      <c r="B1" s="147"/>
      <c r="C1" s="147"/>
      <c r="D1" s="147"/>
      <c r="E1" s="147"/>
      <c r="F1" s="147"/>
      <c r="G1" s="96"/>
    </row>
    <row r="2" spans="1:6" ht="15.75">
      <c r="A2" s="147" t="s">
        <v>43</v>
      </c>
      <c r="B2" s="147"/>
      <c r="C2" s="147"/>
      <c r="D2" s="147"/>
      <c r="E2" s="147"/>
      <c r="F2" s="147"/>
    </row>
    <row r="3" ht="9" customHeight="1"/>
    <row r="4" spans="2:6" ht="15.75" hidden="1" outlineLevel="1">
      <c r="B4" s="16" t="s">
        <v>66</v>
      </c>
      <c r="C4" s="16"/>
      <c r="D4" s="16"/>
      <c r="E4" s="16"/>
      <c r="F4" s="16"/>
    </row>
    <row r="5" spans="2:6" ht="15.75" hidden="1" outlineLevel="1">
      <c r="B5" s="16" t="s">
        <v>14</v>
      </c>
      <c r="C5" s="16"/>
      <c r="D5" s="16">
        <v>7810</v>
      </c>
      <c r="E5" s="16" t="s">
        <v>15</v>
      </c>
      <c r="F5" s="16"/>
    </row>
    <row r="6" ht="9" customHeight="1" collapsed="1"/>
    <row r="7" spans="1:6" ht="15.75">
      <c r="A7" s="14" t="s">
        <v>85</v>
      </c>
      <c r="C7" s="14"/>
      <c r="D7" s="17">
        <f>'2015 (с марта)'!F38</f>
        <v>144098.19661617745</v>
      </c>
      <c r="E7" s="14" t="s">
        <v>20</v>
      </c>
      <c r="F7" s="14"/>
    </row>
    <row r="8" spans="1:6" ht="15.75">
      <c r="A8" s="14" t="s">
        <v>87</v>
      </c>
      <c r="C8" s="16"/>
      <c r="D8" s="18">
        <f>C16</f>
        <v>-317449.42000000004</v>
      </c>
      <c r="E8" s="16" t="s">
        <v>19</v>
      </c>
      <c r="F8" s="16"/>
    </row>
    <row r="9" spans="2:6" ht="15.75">
      <c r="B9" s="16"/>
      <c r="C9" s="16"/>
      <c r="D9" s="16"/>
      <c r="E9" s="16"/>
      <c r="F9" s="19" t="s">
        <v>20</v>
      </c>
    </row>
    <row r="10" spans="1:6" s="15" customFormat="1" ht="28.5" customHeight="1">
      <c r="A10" s="97" t="s">
        <v>21</v>
      </c>
      <c r="B10" s="20" t="s">
        <v>22</v>
      </c>
      <c r="C10" s="21" t="s">
        <v>91</v>
      </c>
      <c r="D10" s="21" t="s">
        <v>0</v>
      </c>
      <c r="E10" s="21" t="s">
        <v>24</v>
      </c>
      <c r="F10" s="21" t="s">
        <v>92</v>
      </c>
    </row>
    <row r="11" spans="1:9" s="24" customFormat="1" ht="30" customHeight="1">
      <c r="A11" s="97">
        <v>1</v>
      </c>
      <c r="B11" s="22" t="s">
        <v>1</v>
      </c>
      <c r="C11" s="9">
        <f>'2015 (с марта)'!F11</f>
        <v>-156649.45</v>
      </c>
      <c r="D11" s="9">
        <f>632318.61-12979.09+10284.28-167652.71+57950.16+167162.25</f>
        <v>687083.5000000001</v>
      </c>
      <c r="E11" s="9">
        <v>618620.54</v>
      </c>
      <c r="F11" s="9">
        <f>C11-D11+E11</f>
        <v>-225112.41000000015</v>
      </c>
      <c r="G11" s="14" t="s">
        <v>55</v>
      </c>
      <c r="H11" s="32">
        <v>7.42</v>
      </c>
      <c r="I11" s="86">
        <f>H11*D5*10</f>
        <v>579502</v>
      </c>
    </row>
    <row r="12" spans="1:9" s="24" customFormat="1" ht="30" customHeight="1">
      <c r="A12" s="97">
        <v>2</v>
      </c>
      <c r="B12" s="22" t="s">
        <v>2</v>
      </c>
      <c r="C12" s="9">
        <f>'2015 (с марта)'!F12</f>
        <v>-59746.330000000016</v>
      </c>
      <c r="D12" s="9">
        <f>241167.59-4950.33+3922.47-64084.82+22102.3+63897.76</f>
        <v>262054.97</v>
      </c>
      <c r="E12" s="9">
        <v>235801.24</v>
      </c>
      <c r="F12" s="9">
        <f>C12-D12+E12</f>
        <v>-86000.06000000006</v>
      </c>
      <c r="G12" s="8" t="s">
        <v>56</v>
      </c>
      <c r="H12" s="8">
        <v>2.62</v>
      </c>
      <c r="I12" s="86">
        <f>H12*D5*12</f>
        <v>245546.40000000002</v>
      </c>
    </row>
    <row r="13" spans="1:9" s="24" customFormat="1" ht="33" customHeight="1">
      <c r="A13" s="97">
        <v>3</v>
      </c>
      <c r="B13" s="22" t="s">
        <v>3</v>
      </c>
      <c r="C13" s="9">
        <f>'2015 (с марта)'!F13</f>
        <v>-21858.75</v>
      </c>
      <c r="D13" s="9">
        <f>92005.8-3026.5-17337.57+8271.1+17254.94</f>
        <v>97167.77000000002</v>
      </c>
      <c r="E13" s="9">
        <v>93500.48</v>
      </c>
      <c r="F13" s="9">
        <f>C13-D13+E13</f>
        <v>-25526.040000000023</v>
      </c>
      <c r="G13" s="16" t="s">
        <v>57</v>
      </c>
      <c r="H13" s="8">
        <f>2.17</f>
        <v>2.17</v>
      </c>
      <c r="I13" s="86">
        <f>H13*D5*12</f>
        <v>203372.40000000002</v>
      </c>
    </row>
    <row r="14" spans="1:9" s="24" customFormat="1" ht="30" customHeight="1">
      <c r="A14" s="97">
        <v>4</v>
      </c>
      <c r="B14" s="22" t="s">
        <v>51</v>
      </c>
      <c r="C14" s="9">
        <f>'2015 (с марта)'!F14</f>
        <v>-14250.289999999999</v>
      </c>
      <c r="D14" s="9">
        <f>58254.61-5730.91+5730.89-13050.01+13002.37</f>
        <v>58206.95</v>
      </c>
      <c r="E14" s="9">
        <v>59454.87</v>
      </c>
      <c r="F14" s="9">
        <f>C14-D14+E14</f>
        <v>-13002.369999999988</v>
      </c>
      <c r="G14" s="16" t="s">
        <v>58</v>
      </c>
      <c r="H14" s="8">
        <v>1.41</v>
      </c>
      <c r="I14" s="86">
        <f>H14*D5*12</f>
        <v>132145.19999999998</v>
      </c>
    </row>
    <row r="15" spans="1:6" ht="32.25" customHeight="1">
      <c r="A15" s="97">
        <v>5</v>
      </c>
      <c r="B15" s="22" t="s">
        <v>76</v>
      </c>
      <c r="C15" s="9">
        <f>'2015 (с марта)'!F15</f>
        <v>-64944.6</v>
      </c>
      <c r="D15" s="9">
        <f>233422.79-547696.64+415411.84+465.54-3599.79</f>
        <v>98003.74000000005</v>
      </c>
      <c r="E15" s="9">
        <v>104757.46</v>
      </c>
      <c r="F15" s="9">
        <f>C15-D15+E15</f>
        <v>-58190.88000000005</v>
      </c>
    </row>
    <row r="16" spans="1:6" ht="20.25" customHeight="1">
      <c r="A16" s="97"/>
      <c r="B16" s="22" t="s">
        <v>5</v>
      </c>
      <c r="C16" s="9">
        <f>SUM(C11:C15)</f>
        <v>-317449.42000000004</v>
      </c>
      <c r="D16" s="9">
        <f>SUM(D11:D15)</f>
        <v>1202516.9300000002</v>
      </c>
      <c r="E16" s="9">
        <f>SUM(E11:E15)</f>
        <v>1112134.59</v>
      </c>
      <c r="F16" s="9">
        <f>SUM(F11:F15)</f>
        <v>-407831.7600000003</v>
      </c>
    </row>
    <row r="18" spans="1:10" ht="15.75">
      <c r="A18" s="147" t="s">
        <v>25</v>
      </c>
      <c r="B18" s="147"/>
      <c r="C18" s="147"/>
      <c r="D18" s="147"/>
      <c r="E18" s="147"/>
      <c r="F18" s="147"/>
      <c r="H18" s="8" t="s">
        <v>90</v>
      </c>
      <c r="I18" s="148"/>
      <c r="J18" s="148"/>
    </row>
    <row r="19" spans="1:10" ht="33" customHeight="1">
      <c r="A19" s="96"/>
      <c r="B19" s="96"/>
      <c r="C19" s="96"/>
      <c r="D19" s="96"/>
      <c r="E19" s="96"/>
      <c r="F19" s="96"/>
      <c r="G19" s="26"/>
      <c r="H19" s="8">
        <v>7810</v>
      </c>
      <c r="I19" s="16"/>
      <c r="J19" s="16"/>
    </row>
    <row r="20" spans="1:10" ht="30" customHeight="1">
      <c r="A20" s="21" t="s">
        <v>42</v>
      </c>
      <c r="B20" s="149" t="s">
        <v>6</v>
      </c>
      <c r="C20" s="149"/>
      <c r="D20" s="149"/>
      <c r="E20" s="149"/>
      <c r="F20" s="25" t="s">
        <v>13</v>
      </c>
      <c r="G20" s="16"/>
      <c r="I20" s="16"/>
      <c r="J20" s="16"/>
    </row>
    <row r="21" spans="1:10" ht="18" customHeight="1">
      <c r="A21" s="105">
        <v>1</v>
      </c>
      <c r="B21" s="150" t="s">
        <v>7</v>
      </c>
      <c r="C21" s="150"/>
      <c r="D21" s="150"/>
      <c r="E21" s="150"/>
      <c r="F21" s="106">
        <f>I12</f>
        <v>245546.40000000002</v>
      </c>
      <c r="G21" s="16"/>
      <c r="I21" s="18"/>
      <c r="J21" s="18"/>
    </row>
    <row r="22" spans="1:10" ht="18" customHeight="1">
      <c r="A22" s="107">
        <v>2</v>
      </c>
      <c r="B22" s="145" t="s">
        <v>8</v>
      </c>
      <c r="C22" s="145"/>
      <c r="D22" s="145"/>
      <c r="E22" s="145"/>
      <c r="F22" s="108">
        <f>H19*0.21*12</f>
        <v>19681.199999999997</v>
      </c>
      <c r="I22" s="18"/>
      <c r="J22" s="18"/>
    </row>
    <row r="23" spans="1:10" ht="18" customHeight="1">
      <c r="A23" s="107">
        <v>3</v>
      </c>
      <c r="B23" s="145" t="s">
        <v>30</v>
      </c>
      <c r="C23" s="145"/>
      <c r="D23" s="145"/>
      <c r="E23" s="145"/>
      <c r="F23" s="108">
        <f>I13</f>
        <v>203372.40000000002</v>
      </c>
      <c r="I23" s="98"/>
      <c r="J23" s="16"/>
    </row>
    <row r="24" spans="1:9" ht="16.5" customHeight="1">
      <c r="A24" s="107">
        <v>4</v>
      </c>
      <c r="B24" s="145" t="s">
        <v>31</v>
      </c>
      <c r="C24" s="145"/>
      <c r="D24" s="145"/>
      <c r="E24" s="145"/>
      <c r="F24" s="108">
        <f>D13</f>
        <v>97167.77000000002</v>
      </c>
      <c r="G24" s="86"/>
      <c r="I24" s="16"/>
    </row>
    <row r="25" spans="1:7" ht="16.5" customHeight="1">
      <c r="A25" s="107">
        <v>5</v>
      </c>
      <c r="B25" s="145" t="s">
        <v>9</v>
      </c>
      <c r="C25" s="145"/>
      <c r="D25" s="145"/>
      <c r="E25" s="145"/>
      <c r="F25" s="108">
        <f>F26+F27+F29+F28</f>
        <v>90643.73999999999</v>
      </c>
      <c r="G25" s="18">
        <f>F90</f>
        <v>105260.74</v>
      </c>
    </row>
    <row r="26" spans="1:7" ht="16.5" customHeight="1">
      <c r="A26" s="107" t="s">
        <v>10</v>
      </c>
      <c r="B26" s="145" t="s">
        <v>32</v>
      </c>
      <c r="C26" s="145"/>
      <c r="D26" s="145"/>
      <c r="E26" s="145"/>
      <c r="F26" s="108">
        <f>F46+F50+F52+F54+F56+F57+F67+F71+F83</f>
        <v>25793</v>
      </c>
      <c r="G26" s="16"/>
    </row>
    <row r="27" spans="1:7" ht="16.5" customHeight="1">
      <c r="A27" s="107" t="s">
        <v>10</v>
      </c>
      <c r="B27" s="145" t="s">
        <v>33</v>
      </c>
      <c r="C27" s="145"/>
      <c r="D27" s="145"/>
      <c r="E27" s="145"/>
      <c r="F27" s="108">
        <f>F45+F47+F49+F55+F73+F74+F75+F76+F77+F78+F79+F80+F81+F82+F84+F86+F87+F88</f>
        <v>36433</v>
      </c>
      <c r="G27" s="16"/>
    </row>
    <row r="28" spans="1:7" ht="17.25" customHeight="1">
      <c r="A28" s="107" t="s">
        <v>10</v>
      </c>
      <c r="B28" s="145" t="s">
        <v>34</v>
      </c>
      <c r="C28" s="145"/>
      <c r="D28" s="145"/>
      <c r="E28" s="145"/>
      <c r="F28" s="108">
        <f>F48+F51+F58+F59+F63+F66+F68+F69+F70+F72+F85+F89</f>
        <v>26377.739999999998</v>
      </c>
      <c r="G28" s="16"/>
    </row>
    <row r="29" spans="1:7" ht="17.25" customHeight="1">
      <c r="A29" s="107" t="s">
        <v>10</v>
      </c>
      <c r="B29" s="145" t="s">
        <v>74</v>
      </c>
      <c r="C29" s="145"/>
      <c r="D29" s="145"/>
      <c r="E29" s="145"/>
      <c r="F29" s="108">
        <f>F44</f>
        <v>2040</v>
      </c>
      <c r="G29" s="16"/>
    </row>
    <row r="30" spans="1:7" ht="17.25" customHeight="1">
      <c r="A30" s="107">
        <v>6</v>
      </c>
      <c r="B30" s="146" t="s">
        <v>70</v>
      </c>
      <c r="C30" s="146"/>
      <c r="D30" s="146"/>
      <c r="E30" s="146"/>
      <c r="F30" s="108">
        <f>F62+F64</f>
        <v>1242</v>
      </c>
      <c r="G30" s="16"/>
    </row>
    <row r="31" spans="1:7" ht="17.25" customHeight="1">
      <c r="A31" s="107">
        <v>7</v>
      </c>
      <c r="B31" s="133" t="s">
        <v>124</v>
      </c>
      <c r="C31" s="134"/>
      <c r="D31" s="134"/>
      <c r="E31" s="135"/>
      <c r="F31" s="108">
        <f>F53+F60+F61+F65</f>
        <v>13375</v>
      </c>
      <c r="G31" s="16"/>
    </row>
    <row r="32" spans="1:7" ht="17.25" customHeight="1">
      <c r="A32" s="107">
        <v>8</v>
      </c>
      <c r="B32" s="146" t="s">
        <v>2</v>
      </c>
      <c r="C32" s="146"/>
      <c r="D32" s="146"/>
      <c r="E32" s="146"/>
      <c r="F32" s="108">
        <f>D12</f>
        <v>262054.97</v>
      </c>
      <c r="G32" s="16"/>
    </row>
    <row r="33" spans="1:7" s="32" customFormat="1" ht="15.75">
      <c r="A33" s="107">
        <v>9</v>
      </c>
      <c r="B33" s="146" t="s">
        <v>4</v>
      </c>
      <c r="C33" s="146"/>
      <c r="D33" s="146"/>
      <c r="E33" s="146"/>
      <c r="F33" s="108">
        <f>D14</f>
        <v>58206.95</v>
      </c>
      <c r="G33" s="14"/>
    </row>
    <row r="34" spans="1:6" ht="15.75">
      <c r="A34" s="107">
        <v>10</v>
      </c>
      <c r="B34" s="146" t="s">
        <v>75</v>
      </c>
      <c r="C34" s="146"/>
      <c r="D34" s="146"/>
      <c r="E34" s="146"/>
      <c r="F34" s="108">
        <f>D15</f>
        <v>98003.74000000005</v>
      </c>
    </row>
    <row r="35" spans="1:6" ht="15.75">
      <c r="A35" s="107">
        <v>11</v>
      </c>
      <c r="B35" s="133" t="s">
        <v>84</v>
      </c>
      <c r="C35" s="134"/>
      <c r="D35" s="134"/>
      <c r="E35" s="135"/>
      <c r="F35" s="108">
        <v>740.3</v>
      </c>
    </row>
    <row r="36" spans="1:6" ht="18" customHeight="1">
      <c r="A36" s="109"/>
      <c r="B36" s="136" t="s">
        <v>11</v>
      </c>
      <c r="C36" s="136"/>
      <c r="D36" s="136"/>
      <c r="E36" s="136"/>
      <c r="F36" s="110">
        <f>F21+F22+F23+F24+F25+F32+F34+F30+F33+F35+F31</f>
        <v>1090034.47</v>
      </c>
    </row>
    <row r="38" spans="1:6" ht="18" customHeight="1">
      <c r="A38" s="142" t="s">
        <v>88</v>
      </c>
      <c r="B38" s="143"/>
      <c r="C38" s="143"/>
      <c r="D38" s="143"/>
      <c r="E38" s="144"/>
      <c r="F38" s="6">
        <f>D16-F36+D7</f>
        <v>256580.65661617764</v>
      </c>
    </row>
    <row r="39" spans="1:7" ht="16.5" customHeight="1">
      <c r="A39" s="137" t="s">
        <v>89</v>
      </c>
      <c r="B39" s="137"/>
      <c r="C39" s="137"/>
      <c r="D39" s="137"/>
      <c r="E39" s="137"/>
      <c r="F39" s="6">
        <f>F16</f>
        <v>-407831.7600000003</v>
      </c>
      <c r="G39" s="95"/>
    </row>
    <row r="40" spans="1:7" ht="15.75">
      <c r="A40" s="138" t="s">
        <v>65</v>
      </c>
      <c r="B40" s="138"/>
      <c r="C40" s="138"/>
      <c r="D40" s="138"/>
      <c r="E40" s="138"/>
      <c r="F40" s="6">
        <f>F39+F38</f>
        <v>-151251.10338382266</v>
      </c>
      <c r="G40" s="86"/>
    </row>
    <row r="42" spans="1:6" s="40" customFormat="1" ht="30" customHeight="1">
      <c r="A42" s="15"/>
      <c r="B42" s="8"/>
      <c r="C42" s="8"/>
      <c r="D42" s="8"/>
      <c r="E42" s="8"/>
      <c r="F42" s="8"/>
    </row>
    <row r="43" spans="1:6" s="54" customFormat="1" ht="15.75">
      <c r="A43" s="33" t="s">
        <v>21</v>
      </c>
      <c r="B43" s="33" t="s">
        <v>12</v>
      </c>
      <c r="C43" s="139" t="s">
        <v>35</v>
      </c>
      <c r="D43" s="140"/>
      <c r="E43" s="141"/>
      <c r="F43" s="33" t="s">
        <v>36</v>
      </c>
    </row>
    <row r="44" spans="1:6" s="48" customFormat="1" ht="15.75">
      <c r="A44" s="1">
        <v>1</v>
      </c>
      <c r="B44" s="41" t="s">
        <v>72</v>
      </c>
      <c r="C44" s="124" t="s">
        <v>73</v>
      </c>
      <c r="D44" s="125"/>
      <c r="E44" s="126"/>
      <c r="F44" s="42">
        <f>170*12</f>
        <v>2040</v>
      </c>
    </row>
    <row r="45" spans="1:6" s="48" customFormat="1" ht="15.75">
      <c r="A45" s="1">
        <v>2</v>
      </c>
      <c r="B45" s="99">
        <v>42378</v>
      </c>
      <c r="C45" s="114" t="s">
        <v>93</v>
      </c>
      <c r="D45" s="115"/>
      <c r="E45" s="116"/>
      <c r="F45" s="102">
        <v>690</v>
      </c>
    </row>
    <row r="46" spans="1:6" s="48" customFormat="1" ht="15.75" customHeight="1">
      <c r="A46" s="1">
        <v>3</v>
      </c>
      <c r="B46" s="99">
        <v>42385</v>
      </c>
      <c r="C46" s="121" t="s">
        <v>94</v>
      </c>
      <c r="D46" s="122"/>
      <c r="E46" s="123"/>
      <c r="F46" s="102">
        <v>690</v>
      </c>
    </row>
    <row r="47" spans="1:6" s="67" customFormat="1" ht="15.75">
      <c r="A47" s="1">
        <v>4</v>
      </c>
      <c r="B47" s="99">
        <v>42402</v>
      </c>
      <c r="C47" s="114" t="s">
        <v>95</v>
      </c>
      <c r="D47" s="115"/>
      <c r="E47" s="116"/>
      <c r="F47" s="102">
        <v>492</v>
      </c>
    </row>
    <row r="48" spans="1:6" s="67" customFormat="1" ht="15.75">
      <c r="A48" s="1">
        <v>5</v>
      </c>
      <c r="B48" s="99">
        <v>42402</v>
      </c>
      <c r="C48" s="117" t="s">
        <v>96</v>
      </c>
      <c r="D48" s="118"/>
      <c r="E48" s="119"/>
      <c r="F48" s="100">
        <v>1183</v>
      </c>
    </row>
    <row r="49" spans="1:6" s="76" customFormat="1" ht="15.75">
      <c r="A49" s="1">
        <v>6</v>
      </c>
      <c r="B49" s="99">
        <v>42403</v>
      </c>
      <c r="C49" s="114" t="s">
        <v>97</v>
      </c>
      <c r="D49" s="115"/>
      <c r="E49" s="116"/>
      <c r="F49" s="102">
        <v>1249</v>
      </c>
    </row>
    <row r="50" spans="1:6" s="80" customFormat="1" ht="15.75">
      <c r="A50" s="1">
        <v>7</v>
      </c>
      <c r="B50" s="99">
        <v>42405</v>
      </c>
      <c r="C50" s="121" t="s">
        <v>98</v>
      </c>
      <c r="D50" s="122"/>
      <c r="E50" s="123"/>
      <c r="F50" s="102">
        <v>16481</v>
      </c>
    </row>
    <row r="51" spans="1:6" s="80" customFormat="1" ht="15.75">
      <c r="A51" s="1">
        <v>8</v>
      </c>
      <c r="B51" s="99">
        <v>42411</v>
      </c>
      <c r="C51" s="154" t="s">
        <v>99</v>
      </c>
      <c r="D51" s="155"/>
      <c r="E51" s="156"/>
      <c r="F51" s="104">
        <v>955</v>
      </c>
    </row>
    <row r="52" spans="1:6" s="85" customFormat="1" ht="15.75">
      <c r="A52" s="1">
        <v>9</v>
      </c>
      <c r="B52" s="99">
        <v>42411</v>
      </c>
      <c r="C52" s="157" t="s">
        <v>100</v>
      </c>
      <c r="D52" s="158"/>
      <c r="E52" s="159"/>
      <c r="F52" s="100">
        <v>1979</v>
      </c>
    </row>
    <row r="53" spans="1:6" ht="15.75">
      <c r="A53" s="1">
        <v>10</v>
      </c>
      <c r="B53" s="99">
        <v>42428</v>
      </c>
      <c r="C53" s="127" t="s">
        <v>101</v>
      </c>
      <c r="D53" s="128"/>
      <c r="E53" s="129"/>
      <c r="F53" s="100">
        <v>475</v>
      </c>
    </row>
    <row r="54" spans="1:6" ht="15.75">
      <c r="A54" s="1">
        <v>11</v>
      </c>
      <c r="B54" s="99">
        <v>42439</v>
      </c>
      <c r="C54" s="121" t="s">
        <v>102</v>
      </c>
      <c r="D54" s="122"/>
      <c r="E54" s="123"/>
      <c r="F54" s="100">
        <v>1227</v>
      </c>
    </row>
    <row r="55" spans="1:6" ht="15.75">
      <c r="A55" s="1">
        <v>12</v>
      </c>
      <c r="B55" s="99">
        <v>42443</v>
      </c>
      <c r="C55" s="114" t="s">
        <v>103</v>
      </c>
      <c r="D55" s="115"/>
      <c r="E55" s="116"/>
      <c r="F55" s="100">
        <v>5051</v>
      </c>
    </row>
    <row r="56" spans="1:6" s="32" customFormat="1" ht="31.5" customHeight="1">
      <c r="A56" s="1">
        <v>13</v>
      </c>
      <c r="B56" s="99">
        <v>42450</v>
      </c>
      <c r="C56" s="130" t="s">
        <v>104</v>
      </c>
      <c r="D56" s="131"/>
      <c r="E56" s="132"/>
      <c r="F56" s="100">
        <v>654</v>
      </c>
    </row>
    <row r="57" spans="1:6" ht="30" customHeight="1">
      <c r="A57" s="1">
        <v>14</v>
      </c>
      <c r="B57" s="99">
        <v>42451</v>
      </c>
      <c r="C57" s="130" t="s">
        <v>104</v>
      </c>
      <c r="D57" s="131"/>
      <c r="E57" s="132"/>
      <c r="F57" s="100">
        <v>654</v>
      </c>
    </row>
    <row r="58" spans="1:6" s="32" customFormat="1" ht="15.75">
      <c r="A58" s="1">
        <v>15</v>
      </c>
      <c r="B58" s="99">
        <v>42510</v>
      </c>
      <c r="C58" s="127" t="s">
        <v>105</v>
      </c>
      <c r="D58" s="128"/>
      <c r="E58" s="129"/>
      <c r="F58" s="103">
        <v>1143</v>
      </c>
    </row>
    <row r="59" spans="1:6" s="67" customFormat="1" ht="15.75">
      <c r="A59" s="1">
        <v>16</v>
      </c>
      <c r="B59" s="99">
        <v>42521</v>
      </c>
      <c r="C59" s="117" t="s">
        <v>106</v>
      </c>
      <c r="D59" s="118"/>
      <c r="E59" s="119"/>
      <c r="F59" s="100">
        <v>1962</v>
      </c>
    </row>
    <row r="60" spans="1:6" s="76" customFormat="1" ht="15.75">
      <c r="A60" s="1">
        <v>17</v>
      </c>
      <c r="B60" s="99">
        <v>42528</v>
      </c>
      <c r="C60" s="117" t="s">
        <v>107</v>
      </c>
      <c r="D60" s="118"/>
      <c r="E60" s="119"/>
      <c r="F60" s="100">
        <v>8000</v>
      </c>
    </row>
    <row r="61" spans="1:6" s="80" customFormat="1" ht="15.75">
      <c r="A61" s="1">
        <v>18</v>
      </c>
      <c r="B61" s="99">
        <v>42531</v>
      </c>
      <c r="C61" s="117" t="s">
        <v>107</v>
      </c>
      <c r="D61" s="118"/>
      <c r="E61" s="119"/>
      <c r="F61" s="101">
        <v>3000</v>
      </c>
    </row>
    <row r="62" spans="1:6" s="80" customFormat="1" ht="15.75">
      <c r="A62" s="1">
        <v>19</v>
      </c>
      <c r="B62" s="99">
        <v>42535</v>
      </c>
      <c r="C62" s="117" t="s">
        <v>108</v>
      </c>
      <c r="D62" s="118"/>
      <c r="E62" s="119"/>
      <c r="F62" s="100">
        <v>552</v>
      </c>
    </row>
    <row r="63" spans="1:6" s="85" customFormat="1" ht="15.75">
      <c r="A63" s="1">
        <v>20</v>
      </c>
      <c r="B63" s="99">
        <v>42551</v>
      </c>
      <c r="C63" s="127" t="s">
        <v>109</v>
      </c>
      <c r="D63" s="128"/>
      <c r="E63" s="129"/>
      <c r="F63" s="103">
        <v>795</v>
      </c>
    </row>
    <row r="64" spans="1:6" ht="15.75">
      <c r="A64" s="1">
        <v>21</v>
      </c>
      <c r="B64" s="99">
        <v>42565</v>
      </c>
      <c r="C64" s="117" t="s">
        <v>108</v>
      </c>
      <c r="D64" s="118"/>
      <c r="E64" s="119"/>
      <c r="F64" s="100">
        <v>690</v>
      </c>
    </row>
    <row r="65" spans="1:6" s="32" customFormat="1" ht="15.75">
      <c r="A65" s="1">
        <v>22</v>
      </c>
      <c r="B65" s="99">
        <v>42584</v>
      </c>
      <c r="C65" s="117" t="s">
        <v>110</v>
      </c>
      <c r="D65" s="118"/>
      <c r="E65" s="119"/>
      <c r="F65" s="100">
        <v>1900</v>
      </c>
    </row>
    <row r="66" spans="1:6" ht="15.75">
      <c r="A66" s="1">
        <v>23</v>
      </c>
      <c r="B66" s="99">
        <v>42585</v>
      </c>
      <c r="C66" s="127" t="s">
        <v>111</v>
      </c>
      <c r="D66" s="128"/>
      <c r="E66" s="129"/>
      <c r="F66" s="103">
        <v>3701</v>
      </c>
    </row>
    <row r="67" spans="1:6" s="32" customFormat="1" ht="30" customHeight="1">
      <c r="A67" s="1">
        <v>24</v>
      </c>
      <c r="B67" s="99">
        <v>42585</v>
      </c>
      <c r="C67" s="130" t="s">
        <v>104</v>
      </c>
      <c r="D67" s="131"/>
      <c r="E67" s="132"/>
      <c r="F67" s="103">
        <v>654</v>
      </c>
    </row>
    <row r="68" spans="1:6" s="61" customFormat="1" ht="15.75">
      <c r="A68" s="1">
        <v>25</v>
      </c>
      <c r="B68" s="99">
        <v>42592</v>
      </c>
      <c r="C68" s="127" t="s">
        <v>111</v>
      </c>
      <c r="D68" s="128"/>
      <c r="E68" s="129"/>
      <c r="F68" s="103">
        <v>5011</v>
      </c>
    </row>
    <row r="69" spans="1:6" s="67" customFormat="1" ht="15.75">
      <c r="A69" s="1">
        <v>26</v>
      </c>
      <c r="B69" s="99">
        <v>42593</v>
      </c>
      <c r="C69" s="117" t="s">
        <v>112</v>
      </c>
      <c r="D69" s="118"/>
      <c r="E69" s="119"/>
      <c r="F69" s="100">
        <v>1546</v>
      </c>
    </row>
    <row r="70" spans="1:6" s="67" customFormat="1" ht="15.75">
      <c r="A70" s="1">
        <v>27</v>
      </c>
      <c r="B70" s="99">
        <v>42594</v>
      </c>
      <c r="C70" s="117" t="s">
        <v>113</v>
      </c>
      <c r="D70" s="118"/>
      <c r="E70" s="119"/>
      <c r="F70" s="100">
        <v>6610.24</v>
      </c>
    </row>
    <row r="71" spans="1:6" s="76" customFormat="1" ht="31.5" customHeight="1">
      <c r="A71" s="1">
        <v>28</v>
      </c>
      <c r="B71" s="99">
        <v>42605</v>
      </c>
      <c r="C71" s="130" t="s">
        <v>104</v>
      </c>
      <c r="D71" s="131"/>
      <c r="E71" s="132"/>
      <c r="F71" s="103">
        <v>654</v>
      </c>
    </row>
    <row r="72" spans="1:6" s="80" customFormat="1" ht="15.75">
      <c r="A72" s="1">
        <v>29</v>
      </c>
      <c r="B72" s="99">
        <v>42611</v>
      </c>
      <c r="C72" s="127" t="s">
        <v>114</v>
      </c>
      <c r="D72" s="128"/>
      <c r="E72" s="129"/>
      <c r="F72" s="101">
        <v>150</v>
      </c>
    </row>
    <row r="73" spans="1:6" s="85" customFormat="1" ht="15.75">
      <c r="A73" s="1">
        <v>30</v>
      </c>
      <c r="B73" s="99">
        <v>42621</v>
      </c>
      <c r="C73" s="114" t="s">
        <v>97</v>
      </c>
      <c r="D73" s="115"/>
      <c r="E73" s="116"/>
      <c r="F73" s="100">
        <v>529</v>
      </c>
    </row>
    <row r="74" spans="1:6" ht="15.75">
      <c r="A74" s="1">
        <v>31</v>
      </c>
      <c r="B74" s="99">
        <v>42628</v>
      </c>
      <c r="C74" s="151" t="s">
        <v>115</v>
      </c>
      <c r="D74" s="152"/>
      <c r="E74" s="153"/>
      <c r="F74" s="103">
        <v>2573</v>
      </c>
    </row>
    <row r="75" spans="1:6" ht="15.75">
      <c r="A75" s="1">
        <v>32</v>
      </c>
      <c r="B75" s="99">
        <v>42629</v>
      </c>
      <c r="C75" s="114" t="s">
        <v>116</v>
      </c>
      <c r="D75" s="115"/>
      <c r="E75" s="116"/>
      <c r="F75" s="100">
        <v>2792</v>
      </c>
    </row>
    <row r="76" spans="1:6" ht="15.75">
      <c r="A76" s="1">
        <v>33</v>
      </c>
      <c r="B76" s="99">
        <v>42632</v>
      </c>
      <c r="C76" s="114" t="s">
        <v>97</v>
      </c>
      <c r="D76" s="115"/>
      <c r="E76" s="116"/>
      <c r="F76" s="100">
        <v>865</v>
      </c>
    </row>
    <row r="77" spans="1:6" s="32" customFormat="1" ht="15.75">
      <c r="A77" s="1">
        <v>34</v>
      </c>
      <c r="B77" s="99">
        <v>42633</v>
      </c>
      <c r="C77" s="114" t="s">
        <v>97</v>
      </c>
      <c r="D77" s="115"/>
      <c r="E77" s="116"/>
      <c r="F77" s="100">
        <v>858</v>
      </c>
    </row>
    <row r="78" spans="1:6" ht="15.75">
      <c r="A78" s="1">
        <v>35</v>
      </c>
      <c r="B78" s="99">
        <v>42635</v>
      </c>
      <c r="C78" s="114" t="s">
        <v>97</v>
      </c>
      <c r="D78" s="115"/>
      <c r="E78" s="116"/>
      <c r="F78" s="100">
        <v>1218</v>
      </c>
    </row>
    <row r="79" spans="1:6" s="32" customFormat="1" ht="15.75">
      <c r="A79" s="1">
        <v>36</v>
      </c>
      <c r="B79" s="99">
        <v>42635</v>
      </c>
      <c r="C79" s="114" t="s">
        <v>117</v>
      </c>
      <c r="D79" s="115"/>
      <c r="E79" s="116"/>
      <c r="F79" s="100">
        <v>858</v>
      </c>
    </row>
    <row r="80" spans="1:6" s="67" customFormat="1" ht="15.75">
      <c r="A80" s="1">
        <v>37</v>
      </c>
      <c r="B80" s="99">
        <v>42640</v>
      </c>
      <c r="C80" s="114" t="s">
        <v>117</v>
      </c>
      <c r="D80" s="115"/>
      <c r="E80" s="116"/>
      <c r="F80" s="100">
        <v>858</v>
      </c>
    </row>
    <row r="81" spans="1:6" s="80" customFormat="1" ht="15.75">
      <c r="A81" s="1">
        <v>38</v>
      </c>
      <c r="B81" s="99">
        <v>42661</v>
      </c>
      <c r="C81" s="114" t="s">
        <v>97</v>
      </c>
      <c r="D81" s="115"/>
      <c r="E81" s="116"/>
      <c r="F81" s="100">
        <v>684</v>
      </c>
    </row>
    <row r="82" spans="1:6" s="80" customFormat="1" ht="15.75">
      <c r="A82" s="1">
        <v>39</v>
      </c>
      <c r="B82" s="99">
        <v>42682</v>
      </c>
      <c r="C82" s="114" t="s">
        <v>97</v>
      </c>
      <c r="D82" s="115"/>
      <c r="E82" s="116"/>
      <c r="F82" s="100">
        <v>1047</v>
      </c>
    </row>
    <row r="83" spans="1:6" s="85" customFormat="1" ht="15.75">
      <c r="A83" s="1">
        <v>40</v>
      </c>
      <c r="B83" s="99">
        <v>42690</v>
      </c>
      <c r="C83" s="121" t="s">
        <v>118</v>
      </c>
      <c r="D83" s="122"/>
      <c r="E83" s="123"/>
      <c r="F83" s="100">
        <v>2800</v>
      </c>
    </row>
    <row r="84" spans="1:6" ht="15.75">
      <c r="A84" s="1">
        <v>41</v>
      </c>
      <c r="B84" s="99">
        <v>42697</v>
      </c>
      <c r="C84" s="114" t="s">
        <v>119</v>
      </c>
      <c r="D84" s="115"/>
      <c r="E84" s="116"/>
      <c r="F84" s="100">
        <v>1587</v>
      </c>
    </row>
    <row r="85" spans="1:6" ht="15.75">
      <c r="A85" s="1">
        <v>42</v>
      </c>
      <c r="B85" s="99">
        <v>42698</v>
      </c>
      <c r="C85" s="117" t="s">
        <v>120</v>
      </c>
      <c r="D85" s="118"/>
      <c r="E85" s="119"/>
      <c r="F85" s="102">
        <v>720</v>
      </c>
    </row>
    <row r="86" spans="1:6" ht="15.75">
      <c r="A86" s="1">
        <v>43</v>
      </c>
      <c r="B86" s="99">
        <v>42704</v>
      </c>
      <c r="C86" s="114" t="s">
        <v>121</v>
      </c>
      <c r="D86" s="115"/>
      <c r="E86" s="116"/>
      <c r="F86" s="100">
        <v>13571</v>
      </c>
    </row>
    <row r="87" spans="1:6" s="32" customFormat="1" ht="15.75">
      <c r="A87" s="1">
        <v>44</v>
      </c>
      <c r="B87" s="99">
        <v>42709</v>
      </c>
      <c r="C87" s="114" t="s">
        <v>122</v>
      </c>
      <c r="D87" s="115"/>
      <c r="E87" s="116"/>
      <c r="F87" s="102">
        <v>751</v>
      </c>
    </row>
    <row r="88" spans="1:6" ht="15.75">
      <c r="A88" s="1">
        <v>45</v>
      </c>
      <c r="B88" s="99">
        <v>42711</v>
      </c>
      <c r="C88" s="114" t="s">
        <v>122</v>
      </c>
      <c r="D88" s="115"/>
      <c r="E88" s="116"/>
      <c r="F88" s="102">
        <v>760</v>
      </c>
    </row>
    <row r="89" spans="1:6" s="32" customFormat="1" ht="15.75">
      <c r="A89" s="1">
        <v>46</v>
      </c>
      <c r="B89" s="99">
        <v>42730</v>
      </c>
      <c r="C89" s="117" t="s">
        <v>123</v>
      </c>
      <c r="D89" s="118"/>
      <c r="E89" s="119"/>
      <c r="F89" s="100">
        <v>2601.5</v>
      </c>
    </row>
    <row r="90" spans="1:6" ht="15.75">
      <c r="A90" s="120" t="s">
        <v>37</v>
      </c>
      <c r="B90" s="120"/>
      <c r="C90" s="120"/>
      <c r="D90" s="120"/>
      <c r="E90" s="120"/>
      <c r="F90" s="36">
        <f>SUM(F44:F89)</f>
        <v>105260.74</v>
      </c>
    </row>
  </sheetData>
  <sheetProtection selectLockedCells="1" selectUnlockedCells="1"/>
  <mergeCells count="72">
    <mergeCell ref="C62:E62"/>
    <mergeCell ref="C63:E63"/>
    <mergeCell ref="C64:E64"/>
    <mergeCell ref="C65:E65"/>
    <mergeCell ref="C56:E56"/>
    <mergeCell ref="C57:E57"/>
    <mergeCell ref="C58:E58"/>
    <mergeCell ref="C50:E50"/>
    <mergeCell ref="C51:E51"/>
    <mergeCell ref="C52:E52"/>
    <mergeCell ref="C53:E53"/>
    <mergeCell ref="C54:E54"/>
    <mergeCell ref="C55:E55"/>
    <mergeCell ref="C75:E75"/>
    <mergeCell ref="C76:E76"/>
    <mergeCell ref="C77:E77"/>
    <mergeCell ref="C78:E78"/>
    <mergeCell ref="C79:E79"/>
    <mergeCell ref="C59:E59"/>
    <mergeCell ref="C60:E60"/>
    <mergeCell ref="C61:E61"/>
    <mergeCell ref="C66:E66"/>
    <mergeCell ref="C67:E67"/>
    <mergeCell ref="A1:F1"/>
    <mergeCell ref="A2:F2"/>
    <mergeCell ref="A18:F18"/>
    <mergeCell ref="I18:J18"/>
    <mergeCell ref="B20:E20"/>
    <mergeCell ref="B21:E21"/>
    <mergeCell ref="B22:E22"/>
    <mergeCell ref="B23:E23"/>
    <mergeCell ref="B24:E24"/>
    <mergeCell ref="B25:E25"/>
    <mergeCell ref="B26:E26"/>
    <mergeCell ref="C70:E70"/>
    <mergeCell ref="C47:E47"/>
    <mergeCell ref="C48:E48"/>
    <mergeCell ref="C49:E49"/>
    <mergeCell ref="B27:E27"/>
    <mergeCell ref="B28:E28"/>
    <mergeCell ref="B29:E29"/>
    <mergeCell ref="B30:E30"/>
    <mergeCell ref="B32:E32"/>
    <mergeCell ref="B33:E33"/>
    <mergeCell ref="B34:E34"/>
    <mergeCell ref="B31:E31"/>
    <mergeCell ref="B35:E35"/>
    <mergeCell ref="B36:E36"/>
    <mergeCell ref="A39:E39"/>
    <mergeCell ref="A40:E40"/>
    <mergeCell ref="C43:E43"/>
    <mergeCell ref="A38:E38"/>
    <mergeCell ref="C44:E44"/>
    <mergeCell ref="C45:E45"/>
    <mergeCell ref="C46:E46"/>
    <mergeCell ref="C68:E68"/>
    <mergeCell ref="C69:E69"/>
    <mergeCell ref="C80:E80"/>
    <mergeCell ref="C71:E71"/>
    <mergeCell ref="C72:E72"/>
    <mergeCell ref="C73:E73"/>
    <mergeCell ref="C74:E74"/>
    <mergeCell ref="C87:E87"/>
    <mergeCell ref="C88:E88"/>
    <mergeCell ref="C89:E89"/>
    <mergeCell ref="A90:E90"/>
    <mergeCell ref="C81:E81"/>
    <mergeCell ref="C82:E82"/>
    <mergeCell ref="C83:E83"/>
    <mergeCell ref="C84:E84"/>
    <mergeCell ref="C85:E85"/>
    <mergeCell ref="C86:E86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61"/>
  <sheetViews>
    <sheetView view="pageBreakPreview" zoomScaleSheetLayoutView="100" zoomScalePageLayoutView="0" workbookViewId="0" topLeftCell="A16">
      <selection activeCell="F23" sqref="F23:F25"/>
    </sheetView>
  </sheetViews>
  <sheetFormatPr defaultColWidth="9.140625" defaultRowHeight="12.75" outlineLevelRow="1"/>
  <cols>
    <col min="1" max="1" width="4.421875" style="15" customWidth="1"/>
    <col min="2" max="2" width="15.14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2.710937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47" t="s">
        <v>38</v>
      </c>
      <c r="B1" s="147"/>
      <c r="C1" s="147"/>
      <c r="D1" s="147"/>
      <c r="E1" s="147"/>
      <c r="F1" s="147"/>
      <c r="G1" s="87"/>
    </row>
    <row r="2" spans="1:6" ht="15.75">
      <c r="A2" s="147" t="s">
        <v>43</v>
      </c>
      <c r="B2" s="147"/>
      <c r="C2" s="147"/>
      <c r="D2" s="147"/>
      <c r="E2" s="147"/>
      <c r="F2" s="147"/>
    </row>
    <row r="3" ht="9" customHeight="1"/>
    <row r="4" spans="2:6" ht="15.75" outlineLevel="1">
      <c r="B4" s="16" t="s">
        <v>66</v>
      </c>
      <c r="C4" s="16"/>
      <c r="D4" s="16"/>
      <c r="E4" s="16"/>
      <c r="F4" s="16"/>
    </row>
    <row r="5" spans="2:6" ht="15.75" outlineLevel="1">
      <c r="B5" s="16" t="s">
        <v>14</v>
      </c>
      <c r="C5" s="16"/>
      <c r="D5" s="16">
        <v>7439.9</v>
      </c>
      <c r="E5" s="16" t="s">
        <v>15</v>
      </c>
      <c r="F5" s="16"/>
    </row>
    <row r="6" ht="9" customHeight="1"/>
    <row r="7" spans="1:6" ht="15.75">
      <c r="A7" s="14" t="s">
        <v>67</v>
      </c>
      <c r="C7" s="14"/>
      <c r="D7" s="17">
        <v>0</v>
      </c>
      <c r="E7" s="14" t="s">
        <v>20</v>
      </c>
      <c r="F7" s="14"/>
    </row>
    <row r="8" spans="1:6" ht="15.75">
      <c r="A8" s="14" t="s">
        <v>68</v>
      </c>
      <c r="C8" s="16"/>
      <c r="D8" s="18">
        <v>0</v>
      </c>
      <c r="E8" s="16" t="s">
        <v>19</v>
      </c>
      <c r="F8" s="16"/>
    </row>
    <row r="9" spans="2:6" ht="15.75">
      <c r="B9" s="16"/>
      <c r="C9" s="16"/>
      <c r="D9" s="16"/>
      <c r="E9" s="16"/>
      <c r="F9" s="19" t="s">
        <v>20</v>
      </c>
    </row>
    <row r="10" spans="1:6" s="15" customFormat="1" ht="28.5" customHeight="1">
      <c r="A10" s="7" t="s">
        <v>21</v>
      </c>
      <c r="B10" s="20" t="s">
        <v>22</v>
      </c>
      <c r="C10" s="21" t="s">
        <v>69</v>
      </c>
      <c r="D10" s="21" t="s">
        <v>0</v>
      </c>
      <c r="E10" s="21" t="s">
        <v>24</v>
      </c>
      <c r="F10" s="21" t="s">
        <v>40</v>
      </c>
    </row>
    <row r="11" spans="1:9" s="24" customFormat="1" ht="30" customHeight="1">
      <c r="A11" s="7">
        <v>1</v>
      </c>
      <c r="B11" s="22" t="s">
        <v>1</v>
      </c>
      <c r="C11" s="9">
        <v>0</v>
      </c>
      <c r="D11" s="9">
        <v>544877.16</v>
      </c>
      <c r="E11" s="9">
        <v>388227.71</v>
      </c>
      <c r="F11" s="9">
        <f>C11-D11+E11</f>
        <v>-156649.45</v>
      </c>
      <c r="G11" s="14" t="s">
        <v>55</v>
      </c>
      <c r="H11" s="32">
        <v>7.42</v>
      </c>
      <c r="I11" s="86">
        <f>H11*D5*10</f>
        <v>552040.58</v>
      </c>
    </row>
    <row r="12" spans="1:9" s="24" customFormat="1" ht="30" customHeight="1">
      <c r="A12" s="7">
        <v>2</v>
      </c>
      <c r="B12" s="22" t="s">
        <v>2</v>
      </c>
      <c r="C12" s="9">
        <v>0</v>
      </c>
      <c r="D12" s="9">
        <v>207817.17</v>
      </c>
      <c r="E12" s="9">
        <v>148070.84</v>
      </c>
      <c r="F12" s="9">
        <f>C12-D12+E12</f>
        <v>-59746.330000000016</v>
      </c>
      <c r="G12" s="8" t="s">
        <v>56</v>
      </c>
      <c r="H12" s="8">
        <v>2.62</v>
      </c>
      <c r="I12" s="86">
        <f>H12*D5*10</f>
        <v>194925.38</v>
      </c>
    </row>
    <row r="13" spans="1:9" s="24" customFormat="1" ht="33" customHeight="1">
      <c r="A13" s="7">
        <v>3</v>
      </c>
      <c r="B13" s="22" t="s">
        <v>3</v>
      </c>
      <c r="C13" s="9">
        <v>0</v>
      </c>
      <c r="D13" s="9">
        <v>84718.2</v>
      </c>
      <c r="E13" s="9">
        <v>62859.45</v>
      </c>
      <c r="F13" s="9">
        <f>C13-D13+E13</f>
        <v>-21858.75</v>
      </c>
      <c r="G13" s="16" t="s">
        <v>57</v>
      </c>
      <c r="H13" s="8">
        <f>2.17</f>
        <v>2.17</v>
      </c>
      <c r="I13" s="86">
        <f>H13*D5*10</f>
        <v>161445.83</v>
      </c>
    </row>
    <row r="14" spans="1:9" s="24" customFormat="1" ht="30" customHeight="1">
      <c r="A14" s="91">
        <v>4</v>
      </c>
      <c r="B14" s="22" t="s">
        <v>51</v>
      </c>
      <c r="C14" s="9">
        <v>0</v>
      </c>
      <c r="D14" s="9">
        <v>29702.8</v>
      </c>
      <c r="E14" s="9">
        <v>15452.51</v>
      </c>
      <c r="F14" s="9">
        <f>C14-D14+E14</f>
        <v>-14250.289999999999</v>
      </c>
      <c r="G14" s="16" t="s">
        <v>58</v>
      </c>
      <c r="H14" s="8">
        <v>1.25</v>
      </c>
      <c r="I14" s="86">
        <f>H14*D5*10</f>
        <v>92998.75</v>
      </c>
    </row>
    <row r="15" spans="1:6" ht="32.25" customHeight="1">
      <c r="A15" s="7">
        <v>5</v>
      </c>
      <c r="B15" s="22" t="s">
        <v>76</v>
      </c>
      <c r="C15" s="9">
        <v>0</v>
      </c>
      <c r="D15" s="9">
        <v>74692.56</v>
      </c>
      <c r="E15" s="9">
        <v>9747.96</v>
      </c>
      <c r="F15" s="9">
        <f>C15-D15+E15</f>
        <v>-64944.6</v>
      </c>
    </row>
    <row r="16" spans="1:6" ht="20.25" customHeight="1">
      <c r="A16" s="7"/>
      <c r="B16" s="22" t="s">
        <v>5</v>
      </c>
      <c r="C16" s="9">
        <f>SUM(C11:C15)</f>
        <v>0</v>
      </c>
      <c r="D16" s="9">
        <f>SUM(D11:D15)</f>
        <v>941807.8900000001</v>
      </c>
      <c r="E16" s="9">
        <f>SUM(E11:E15)</f>
        <v>624358.47</v>
      </c>
      <c r="F16" s="9">
        <f>SUM(F11:F15)</f>
        <v>-317449.42000000004</v>
      </c>
    </row>
    <row r="17" ht="15.75">
      <c r="J17" s="8" t="s">
        <v>44</v>
      </c>
    </row>
    <row r="18" spans="1:10" ht="15.75">
      <c r="A18" s="147" t="s">
        <v>25</v>
      </c>
      <c r="B18" s="147"/>
      <c r="C18" s="147"/>
      <c r="D18" s="147"/>
      <c r="E18" s="147"/>
      <c r="F18" s="147"/>
      <c r="I18" s="171" t="s">
        <v>26</v>
      </c>
      <c r="J18" s="171"/>
    </row>
    <row r="19" spans="1:11" ht="33" customHeight="1">
      <c r="A19" s="87"/>
      <c r="B19" s="87"/>
      <c r="C19" s="87"/>
      <c r="D19" s="87"/>
      <c r="E19" s="87"/>
      <c r="F19" s="87"/>
      <c r="G19" s="26"/>
      <c r="H19" s="8">
        <v>7810</v>
      </c>
      <c r="I19" s="20">
        <v>7439.9</v>
      </c>
      <c r="J19" s="20">
        <v>6777.5</v>
      </c>
      <c r="K19" s="8">
        <v>6644</v>
      </c>
    </row>
    <row r="20" spans="1:10" ht="30" customHeight="1">
      <c r="A20" s="21" t="s">
        <v>42</v>
      </c>
      <c r="B20" s="149" t="s">
        <v>6</v>
      </c>
      <c r="C20" s="149"/>
      <c r="D20" s="149"/>
      <c r="E20" s="149"/>
      <c r="F20" s="25" t="s">
        <v>13</v>
      </c>
      <c r="G20" s="28"/>
      <c r="H20" s="8" t="s">
        <v>27</v>
      </c>
      <c r="I20" s="20" t="s">
        <v>28</v>
      </c>
      <c r="J20" s="20" t="s">
        <v>29</v>
      </c>
    </row>
    <row r="21" spans="1:10" ht="18" customHeight="1">
      <c r="A21" s="27">
        <v>1</v>
      </c>
      <c r="B21" s="150" t="s">
        <v>7</v>
      </c>
      <c r="C21" s="150"/>
      <c r="D21" s="150"/>
      <c r="E21" s="150"/>
      <c r="F21" s="4">
        <f>I12</f>
        <v>194925.38</v>
      </c>
      <c r="G21" s="28"/>
      <c r="I21" s="88">
        <f>20537.13/20799.3*I19</f>
        <v>7346.121912131659</v>
      </c>
      <c r="J21" s="88">
        <f>19302.41/19114.1*J19</f>
        <v>6844.271180699066</v>
      </c>
    </row>
    <row r="22" spans="1:10" ht="18" customHeight="1">
      <c r="A22" s="29">
        <v>2</v>
      </c>
      <c r="B22" s="145" t="s">
        <v>8</v>
      </c>
      <c r="C22" s="145"/>
      <c r="D22" s="145"/>
      <c r="E22" s="145"/>
      <c r="F22" s="5">
        <f>0.19*4*I19+0.21*6*I19</f>
        <v>15028.597999999998</v>
      </c>
      <c r="I22" s="88">
        <f>I21*10</f>
        <v>73461.2191213166</v>
      </c>
      <c r="J22" s="88">
        <f>J21*10</f>
        <v>68442.71180699066</v>
      </c>
    </row>
    <row r="23" spans="1:10" ht="18" customHeight="1">
      <c r="A23" s="29">
        <v>3</v>
      </c>
      <c r="B23" s="145" t="s">
        <v>30</v>
      </c>
      <c r="C23" s="145"/>
      <c r="D23" s="145"/>
      <c r="E23" s="145"/>
      <c r="F23" s="5">
        <f>I22*1.202+J23+J24</f>
        <v>94797.19538382256</v>
      </c>
      <c r="G23" s="8">
        <f>F23/10</f>
        <v>9479.719538382256</v>
      </c>
      <c r="I23" s="89" t="s">
        <v>61</v>
      </c>
      <c r="J23" s="20">
        <f>3105*1.202</f>
        <v>3732.21</v>
      </c>
    </row>
    <row r="24" spans="1:10" ht="18" customHeight="1">
      <c r="A24" s="94">
        <v>4</v>
      </c>
      <c r="B24" s="160" t="s">
        <v>82</v>
      </c>
      <c r="C24" s="160"/>
      <c r="D24" s="160"/>
      <c r="E24" s="160"/>
      <c r="F24" s="5">
        <f>0.69*10*I19</f>
        <v>51335.30999999999</v>
      </c>
      <c r="G24" s="28">
        <f>F25/10</f>
        <v>10166.25</v>
      </c>
      <c r="I24" s="20"/>
      <c r="J24" s="90">
        <f>2300*1.202</f>
        <v>2764.6</v>
      </c>
    </row>
    <row r="25" spans="1:10" ht="16.5" customHeight="1">
      <c r="A25" s="29">
        <v>5</v>
      </c>
      <c r="B25" s="145" t="s">
        <v>31</v>
      </c>
      <c r="C25" s="145"/>
      <c r="D25" s="145"/>
      <c r="E25" s="145"/>
      <c r="F25" s="5">
        <f>H14*12*J19</f>
        <v>101662.5</v>
      </c>
      <c r="G25" s="86">
        <f>F61</f>
        <v>25470</v>
      </c>
      <c r="I25" s="16" t="s">
        <v>63</v>
      </c>
      <c r="J25" s="8">
        <v>870</v>
      </c>
    </row>
    <row r="26" spans="1:7" ht="16.5" customHeight="1">
      <c r="A26" s="29">
        <v>6</v>
      </c>
      <c r="B26" s="145" t="s">
        <v>9</v>
      </c>
      <c r="C26" s="145"/>
      <c r="D26" s="145"/>
      <c r="E26" s="145"/>
      <c r="F26" s="5">
        <f>F27+F28+F30+F29</f>
        <v>25470</v>
      </c>
      <c r="G26" s="16"/>
    </row>
    <row r="27" spans="1:7" ht="16.5" customHeight="1">
      <c r="A27" s="29" t="s">
        <v>10</v>
      </c>
      <c r="B27" s="145" t="s">
        <v>32</v>
      </c>
      <c r="C27" s="145"/>
      <c r="D27" s="145"/>
      <c r="E27" s="145"/>
      <c r="F27" s="6">
        <f>F46+F59+F60+F57</f>
        <v>3200</v>
      </c>
      <c r="G27" s="16"/>
    </row>
    <row r="28" spans="1:7" ht="16.5" customHeight="1">
      <c r="A28" s="29" t="s">
        <v>10</v>
      </c>
      <c r="B28" s="145" t="s">
        <v>33</v>
      </c>
      <c r="C28" s="145"/>
      <c r="D28" s="145"/>
      <c r="E28" s="145"/>
      <c r="F28" s="6">
        <f>F45+F48+F52+F53+F54+F55+F49+F56+F58</f>
        <v>12237</v>
      </c>
      <c r="G28" s="16"/>
    </row>
    <row r="29" spans="1:7" ht="17.25" customHeight="1">
      <c r="A29" s="29" t="s">
        <v>10</v>
      </c>
      <c r="B29" s="145" t="s">
        <v>34</v>
      </c>
      <c r="C29" s="145"/>
      <c r="D29" s="145"/>
      <c r="E29" s="145"/>
      <c r="F29" s="6">
        <f>F47+F50+F51</f>
        <v>4653</v>
      </c>
      <c r="G29" s="16"/>
    </row>
    <row r="30" spans="1:7" ht="17.25" customHeight="1">
      <c r="A30" s="29" t="s">
        <v>10</v>
      </c>
      <c r="B30" s="145" t="s">
        <v>74</v>
      </c>
      <c r="C30" s="145"/>
      <c r="D30" s="145"/>
      <c r="E30" s="145"/>
      <c r="F30" s="6">
        <f>F44</f>
        <v>5380</v>
      </c>
      <c r="G30" s="16"/>
    </row>
    <row r="31" spans="1:7" ht="17.25" customHeight="1">
      <c r="A31" s="29">
        <v>7</v>
      </c>
      <c r="B31" s="146" t="s">
        <v>70</v>
      </c>
      <c r="C31" s="146"/>
      <c r="D31" s="146"/>
      <c r="E31" s="146"/>
      <c r="F31" s="6">
        <f>J25</f>
        <v>870</v>
      </c>
      <c r="G31" s="16"/>
    </row>
    <row r="32" spans="1:7" ht="17.25" customHeight="1">
      <c r="A32" s="29">
        <v>8</v>
      </c>
      <c r="B32" s="146" t="s">
        <v>2</v>
      </c>
      <c r="C32" s="146"/>
      <c r="D32" s="146"/>
      <c r="E32" s="146"/>
      <c r="F32" s="6">
        <f>D12</f>
        <v>207817.17</v>
      </c>
      <c r="G32" s="16"/>
    </row>
    <row r="33" spans="1:7" s="32" customFormat="1" ht="15.75">
      <c r="A33" s="29">
        <v>9</v>
      </c>
      <c r="B33" s="146" t="s">
        <v>4</v>
      </c>
      <c r="C33" s="146"/>
      <c r="D33" s="146"/>
      <c r="E33" s="146"/>
      <c r="F33" s="6">
        <f>D14</f>
        <v>29702.8</v>
      </c>
      <c r="G33" s="14"/>
    </row>
    <row r="34" spans="1:6" ht="15.75">
      <c r="A34" s="29">
        <v>10</v>
      </c>
      <c r="B34" s="146" t="s">
        <v>75</v>
      </c>
      <c r="C34" s="146"/>
      <c r="D34" s="146"/>
      <c r="E34" s="146"/>
      <c r="F34" s="6">
        <f>D15</f>
        <v>74692.56</v>
      </c>
    </row>
    <row r="35" spans="1:6" ht="15.75">
      <c r="A35" s="29">
        <v>11</v>
      </c>
      <c r="B35" s="133" t="s">
        <v>84</v>
      </c>
      <c r="C35" s="134"/>
      <c r="D35" s="134"/>
      <c r="E35" s="135"/>
      <c r="F35" s="6">
        <v>1408.18</v>
      </c>
    </row>
    <row r="36" spans="1:6" ht="18" customHeight="1">
      <c r="A36" s="30"/>
      <c r="B36" s="164" t="s">
        <v>11</v>
      </c>
      <c r="C36" s="164"/>
      <c r="D36" s="164"/>
      <c r="E36" s="164"/>
      <c r="F36" s="31">
        <f>F21+F22+F23+F25+F26+F32+F34+F31+F33+F24+F35</f>
        <v>797709.6933838227</v>
      </c>
    </row>
    <row r="38" spans="1:7" ht="18" customHeight="1">
      <c r="A38" s="92" t="s">
        <v>81</v>
      </c>
      <c r="B38" s="92"/>
      <c r="C38" s="92"/>
      <c r="D38" s="92"/>
      <c r="E38" s="92"/>
      <c r="F38" s="6">
        <f>D16-F36</f>
        <v>144098.19661617745</v>
      </c>
      <c r="G38" s="8" t="s">
        <v>83</v>
      </c>
    </row>
    <row r="39" spans="1:7" ht="16.5" customHeight="1">
      <c r="A39" s="137" t="s">
        <v>71</v>
      </c>
      <c r="B39" s="137"/>
      <c r="C39" s="137"/>
      <c r="D39" s="137"/>
      <c r="E39" s="137"/>
      <c r="F39" s="6">
        <f>F16</f>
        <v>-317449.42000000004</v>
      </c>
      <c r="G39" s="95">
        <v>-110063.21</v>
      </c>
    </row>
    <row r="40" spans="1:7" ht="15.75">
      <c r="A40" s="138" t="s">
        <v>65</v>
      </c>
      <c r="B40" s="138"/>
      <c r="C40" s="138"/>
      <c r="D40" s="138"/>
      <c r="E40" s="138"/>
      <c r="F40" s="6">
        <f>F39+F38</f>
        <v>-173351.2233838226</v>
      </c>
      <c r="G40" s="86">
        <f>F39-G39</f>
        <v>-207386.21000000002</v>
      </c>
    </row>
    <row r="42" spans="1:6" s="40" customFormat="1" ht="30" customHeight="1">
      <c r="A42" s="15"/>
      <c r="B42" s="8"/>
      <c r="C42" s="8"/>
      <c r="D42" s="8"/>
      <c r="E42" s="8"/>
      <c r="F42" s="8"/>
    </row>
    <row r="43" spans="1:6" s="54" customFormat="1" ht="15.75">
      <c r="A43" s="33" t="s">
        <v>21</v>
      </c>
      <c r="B43" s="33" t="s">
        <v>12</v>
      </c>
      <c r="C43" s="139" t="s">
        <v>35</v>
      </c>
      <c r="D43" s="140"/>
      <c r="E43" s="141"/>
      <c r="F43" s="33" t="s">
        <v>36</v>
      </c>
    </row>
    <row r="44" spans="1:6" s="48" customFormat="1" ht="15.75">
      <c r="A44" s="1">
        <v>1</v>
      </c>
      <c r="B44" s="41" t="s">
        <v>72</v>
      </c>
      <c r="C44" s="161" t="s">
        <v>73</v>
      </c>
      <c r="D44" s="162"/>
      <c r="E44" s="163"/>
      <c r="F44" s="42">
        <f>538*10</f>
        <v>5380</v>
      </c>
    </row>
    <row r="45" spans="1:6" s="48" customFormat="1" ht="15.75">
      <c r="A45" s="1">
        <v>2</v>
      </c>
      <c r="B45" s="52">
        <v>42080</v>
      </c>
      <c r="C45" s="181" t="s">
        <v>46</v>
      </c>
      <c r="D45" s="182"/>
      <c r="E45" s="183"/>
      <c r="F45" s="53">
        <f>216+492</f>
        <v>708</v>
      </c>
    </row>
    <row r="46" spans="1:6" s="48" customFormat="1" ht="15.75" customHeight="1">
      <c r="A46" s="1">
        <v>3</v>
      </c>
      <c r="B46" s="49">
        <v>42108</v>
      </c>
      <c r="C46" s="184" t="s">
        <v>52</v>
      </c>
      <c r="D46" s="185"/>
      <c r="E46" s="186"/>
      <c r="F46" s="50">
        <v>1449</v>
      </c>
    </row>
    <row r="47" spans="1:6" s="61" customFormat="1" ht="15.75">
      <c r="A47" s="1">
        <v>4</v>
      </c>
      <c r="B47" s="49">
        <v>42116</v>
      </c>
      <c r="C47" s="184" t="s">
        <v>48</v>
      </c>
      <c r="D47" s="185"/>
      <c r="E47" s="186"/>
      <c r="F47" s="50">
        <v>3543</v>
      </c>
    </row>
    <row r="48" spans="1:6" s="67" customFormat="1" ht="15.75">
      <c r="A48" s="1">
        <v>5</v>
      </c>
      <c r="B48" s="49">
        <v>42123</v>
      </c>
      <c r="C48" s="184" t="s">
        <v>47</v>
      </c>
      <c r="D48" s="185"/>
      <c r="E48" s="186"/>
      <c r="F48" s="57">
        <v>712</v>
      </c>
    </row>
    <row r="49" spans="1:6" s="67" customFormat="1" ht="15.75">
      <c r="A49" s="1">
        <v>6</v>
      </c>
      <c r="B49" s="59">
        <v>42130</v>
      </c>
      <c r="C49" s="187" t="s">
        <v>49</v>
      </c>
      <c r="D49" s="188"/>
      <c r="E49" s="189"/>
      <c r="F49" s="60">
        <v>1064</v>
      </c>
    </row>
    <row r="50" spans="1:6" s="76" customFormat="1" ht="15.75">
      <c r="A50" s="1">
        <v>7</v>
      </c>
      <c r="B50" s="65">
        <v>42157</v>
      </c>
      <c r="C50" s="168" t="s">
        <v>53</v>
      </c>
      <c r="D50" s="169"/>
      <c r="E50" s="170"/>
      <c r="F50" s="66">
        <v>329</v>
      </c>
    </row>
    <row r="51" spans="1:6" s="80" customFormat="1" ht="15.75">
      <c r="A51" s="1">
        <v>8</v>
      </c>
      <c r="B51" s="65">
        <v>42179</v>
      </c>
      <c r="C51" s="168" t="s">
        <v>54</v>
      </c>
      <c r="D51" s="169"/>
      <c r="E51" s="170"/>
      <c r="F51" s="66">
        <v>781</v>
      </c>
    </row>
    <row r="52" spans="1:6" s="80" customFormat="1" ht="32.25" customHeight="1">
      <c r="A52" s="1">
        <v>9</v>
      </c>
      <c r="B52" s="74">
        <v>42237</v>
      </c>
      <c r="C52" s="175" t="s">
        <v>46</v>
      </c>
      <c r="D52" s="176"/>
      <c r="E52" s="177"/>
      <c r="F52" s="75">
        <v>594</v>
      </c>
    </row>
    <row r="53" spans="1:6" s="85" customFormat="1" ht="15.75">
      <c r="A53" s="1">
        <v>10</v>
      </c>
      <c r="B53" s="78">
        <v>42256</v>
      </c>
      <c r="C53" s="178" t="s">
        <v>77</v>
      </c>
      <c r="D53" s="179"/>
      <c r="E53" s="180"/>
      <c r="F53" s="79">
        <v>1398</v>
      </c>
    </row>
    <row r="54" spans="1:6" ht="27" customHeight="1">
      <c r="A54" s="1">
        <v>11</v>
      </c>
      <c r="B54" s="78">
        <v>42264</v>
      </c>
      <c r="C54" s="178" t="s">
        <v>78</v>
      </c>
      <c r="D54" s="179"/>
      <c r="E54" s="180"/>
      <c r="F54" s="79">
        <v>628</v>
      </c>
    </row>
    <row r="55" spans="1:6" ht="31.5" customHeight="1">
      <c r="A55" s="1">
        <v>12</v>
      </c>
      <c r="B55" s="83" t="s">
        <v>62</v>
      </c>
      <c r="C55" s="172" t="s">
        <v>77</v>
      </c>
      <c r="D55" s="173"/>
      <c r="E55" s="174"/>
      <c r="F55" s="84">
        <f>807+820+1005</f>
        <v>2632</v>
      </c>
    </row>
    <row r="56" spans="1:6" ht="15.75">
      <c r="A56" s="1">
        <v>13</v>
      </c>
      <c r="B56" s="3">
        <v>42342</v>
      </c>
      <c r="C56" s="165" t="s">
        <v>77</v>
      </c>
      <c r="D56" s="166"/>
      <c r="E56" s="167"/>
      <c r="F56" s="2">
        <v>3463</v>
      </c>
    </row>
    <row r="57" spans="1:6" s="32" customFormat="1" ht="31.5" customHeight="1">
      <c r="A57" s="1">
        <v>14</v>
      </c>
      <c r="B57" s="3">
        <v>42348</v>
      </c>
      <c r="C57" s="165" t="s">
        <v>79</v>
      </c>
      <c r="D57" s="166"/>
      <c r="E57" s="167"/>
      <c r="F57" s="2">
        <v>654</v>
      </c>
    </row>
    <row r="58" spans="1:6" ht="15.75">
      <c r="A58" s="1">
        <v>14</v>
      </c>
      <c r="B58" s="3">
        <v>42355</v>
      </c>
      <c r="C58" s="165" t="s">
        <v>77</v>
      </c>
      <c r="D58" s="166"/>
      <c r="E58" s="167"/>
      <c r="F58" s="93">
        <v>1038</v>
      </c>
    </row>
    <row r="59" spans="1:6" s="32" customFormat="1" ht="15.75">
      <c r="A59" s="1">
        <v>15</v>
      </c>
      <c r="B59" s="3">
        <v>42361</v>
      </c>
      <c r="C59" s="165" t="s">
        <v>80</v>
      </c>
      <c r="D59" s="166"/>
      <c r="E59" s="167"/>
      <c r="F59" s="2">
        <v>687</v>
      </c>
    </row>
    <row r="60" spans="1:6" ht="15.75">
      <c r="A60" s="1">
        <v>16</v>
      </c>
      <c r="B60" s="3">
        <v>42362</v>
      </c>
      <c r="C60" s="165" t="s">
        <v>80</v>
      </c>
      <c r="D60" s="166"/>
      <c r="E60" s="167"/>
      <c r="F60" s="93">
        <v>410</v>
      </c>
    </row>
    <row r="61" spans="1:6" ht="15.75">
      <c r="A61" s="120" t="s">
        <v>37</v>
      </c>
      <c r="B61" s="120"/>
      <c r="C61" s="120"/>
      <c r="D61" s="120"/>
      <c r="E61" s="120"/>
      <c r="F61" s="36">
        <f>SUM(F44:F60)</f>
        <v>25470</v>
      </c>
    </row>
  </sheetData>
  <sheetProtection selectLockedCells="1" selectUnlockedCells="1"/>
  <mergeCells count="42">
    <mergeCell ref="C45:E45"/>
    <mergeCell ref="C46:E46"/>
    <mergeCell ref="C47:E47"/>
    <mergeCell ref="C56:E56"/>
    <mergeCell ref="C58:E58"/>
    <mergeCell ref="C57:E57"/>
    <mergeCell ref="C48:E48"/>
    <mergeCell ref="C49:E49"/>
    <mergeCell ref="C50:E50"/>
    <mergeCell ref="C59:E59"/>
    <mergeCell ref="C60:E60"/>
    <mergeCell ref="C51:E51"/>
    <mergeCell ref="A61:E61"/>
    <mergeCell ref="I18:J18"/>
    <mergeCell ref="B31:E31"/>
    <mergeCell ref="C55:E55"/>
    <mergeCell ref="C52:E52"/>
    <mergeCell ref="C53:E53"/>
    <mergeCell ref="C54:E54"/>
    <mergeCell ref="C43:E43"/>
    <mergeCell ref="C44:E44"/>
    <mergeCell ref="B32:E32"/>
    <mergeCell ref="B34:E34"/>
    <mergeCell ref="B36:E36"/>
    <mergeCell ref="A39:E39"/>
    <mergeCell ref="A40:E40"/>
    <mergeCell ref="B33:E33"/>
    <mergeCell ref="B35:E35"/>
    <mergeCell ref="B23:E23"/>
    <mergeCell ref="B25:E25"/>
    <mergeCell ref="B26:E26"/>
    <mergeCell ref="B27:E27"/>
    <mergeCell ref="B28:E28"/>
    <mergeCell ref="B30:E30"/>
    <mergeCell ref="B29:E29"/>
    <mergeCell ref="B24:E24"/>
    <mergeCell ref="A1:F1"/>
    <mergeCell ref="A2:F2"/>
    <mergeCell ref="A18:F18"/>
    <mergeCell ref="B20:E20"/>
    <mergeCell ref="B21:E21"/>
    <mergeCell ref="B22:E22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76"/>
  <sheetViews>
    <sheetView view="pageBreakPreview" zoomScaleSheetLayoutView="100" zoomScalePageLayoutView="0" workbookViewId="0" topLeftCell="A1">
      <selection activeCell="B4" sqref="B4"/>
    </sheetView>
  </sheetViews>
  <sheetFormatPr defaultColWidth="9.140625" defaultRowHeight="12.75"/>
  <cols>
    <col min="1" max="1" width="4.421875" style="15" customWidth="1"/>
    <col min="2" max="2" width="15.140625" style="8" customWidth="1"/>
    <col min="3" max="3" width="15.57421875" style="8" customWidth="1"/>
    <col min="4" max="4" width="13.57421875" style="8" customWidth="1"/>
    <col min="5" max="5" width="14.00390625" style="8" customWidth="1"/>
    <col min="6" max="6" width="18.140625" style="8" customWidth="1"/>
    <col min="7" max="7" width="10.140625" style="8" customWidth="1"/>
    <col min="8" max="8" width="9.57421875" style="8" bestFit="1" customWidth="1"/>
    <col min="9" max="9" width="11.421875" style="8" customWidth="1"/>
    <col min="10" max="10" width="11.00390625" style="8" customWidth="1"/>
    <col min="11" max="16384" width="9.140625" style="8" customWidth="1"/>
  </cols>
  <sheetData>
    <row r="1" spans="1:7" ht="15.75">
      <c r="A1" s="147" t="s">
        <v>38</v>
      </c>
      <c r="B1" s="147"/>
      <c r="C1" s="147"/>
      <c r="D1" s="147"/>
      <c r="E1" s="147"/>
      <c r="F1" s="147"/>
      <c r="G1" s="13"/>
    </row>
    <row r="2" spans="1:9" ht="15.75">
      <c r="A2" s="147" t="s">
        <v>43</v>
      </c>
      <c r="B2" s="147"/>
      <c r="C2" s="147"/>
      <c r="D2" s="147"/>
      <c r="E2" s="147"/>
      <c r="F2" s="147"/>
      <c r="G2" s="14" t="s">
        <v>55</v>
      </c>
      <c r="H2" s="32">
        <v>7.42</v>
      </c>
      <c r="I2" s="86">
        <f>H2*D5*12</f>
        <v>652458.408</v>
      </c>
    </row>
    <row r="3" spans="7:9" ht="9" customHeight="1">
      <c r="G3" s="8" t="s">
        <v>56</v>
      </c>
      <c r="H3" s="8">
        <v>2.62</v>
      </c>
      <c r="I3" s="86">
        <f>H3*D5*12</f>
        <v>230382.888</v>
      </c>
    </row>
    <row r="4" spans="2:9" ht="15.75">
      <c r="B4" s="16"/>
      <c r="C4" s="16"/>
      <c r="D4" s="16"/>
      <c r="E4" s="16"/>
      <c r="F4" s="16"/>
      <c r="G4" s="16" t="s">
        <v>57</v>
      </c>
      <c r="H4" s="8">
        <f>2.17+0.69</f>
        <v>2.86</v>
      </c>
      <c r="I4" s="86">
        <f>H4*D5*12</f>
        <v>251486.664</v>
      </c>
    </row>
    <row r="5" spans="2:9" ht="15.75">
      <c r="B5" s="16" t="s">
        <v>14</v>
      </c>
      <c r="C5" s="16"/>
      <c r="D5" s="16">
        <v>7327.7</v>
      </c>
      <c r="E5" s="16" t="s">
        <v>15</v>
      </c>
      <c r="F5" s="16"/>
      <c r="G5" s="16" t="s">
        <v>58</v>
      </c>
      <c r="H5" s="8">
        <v>1.25</v>
      </c>
      <c r="I5" s="86">
        <f>H5*D5*12</f>
        <v>109915.5</v>
      </c>
    </row>
    <row r="6" ht="9" customHeight="1"/>
    <row r="7" spans="1:6" ht="15.75">
      <c r="A7" s="14" t="s">
        <v>16</v>
      </c>
      <c r="C7" s="14"/>
      <c r="D7" s="17" t="e">
        <f>#REF!</f>
        <v>#REF!</v>
      </c>
      <c r="E7" s="14" t="s">
        <v>17</v>
      </c>
      <c r="F7" s="14"/>
    </row>
    <row r="8" spans="1:6" ht="15.75">
      <c r="A8" s="14" t="s">
        <v>18</v>
      </c>
      <c r="C8" s="16"/>
      <c r="D8" s="18">
        <f>C15</f>
        <v>-764914.38</v>
      </c>
      <c r="E8" s="16" t="s">
        <v>19</v>
      </c>
      <c r="F8" s="16"/>
    </row>
    <row r="9" spans="2:6" ht="15.75">
      <c r="B9" s="16"/>
      <c r="C9" s="16"/>
      <c r="D9" s="16"/>
      <c r="E9" s="16"/>
      <c r="F9" s="19" t="s">
        <v>20</v>
      </c>
    </row>
    <row r="10" spans="1:6" s="15" customFormat="1" ht="28.5" customHeight="1">
      <c r="A10" s="7" t="s">
        <v>21</v>
      </c>
      <c r="B10" s="20" t="s">
        <v>22</v>
      </c>
      <c r="C10" s="21" t="s">
        <v>23</v>
      </c>
      <c r="D10" s="21" t="s">
        <v>0</v>
      </c>
      <c r="E10" s="21" t="s">
        <v>24</v>
      </c>
      <c r="F10" s="21" t="s">
        <v>40</v>
      </c>
    </row>
    <row r="11" spans="1:8" s="24" customFormat="1" ht="30" customHeight="1">
      <c r="A11" s="7">
        <v>1</v>
      </c>
      <c r="B11" s="22" t="s">
        <v>1</v>
      </c>
      <c r="C11" s="9">
        <v>-550054.67</v>
      </c>
      <c r="D11" s="9"/>
      <c r="E11" s="9"/>
      <c r="F11" s="9">
        <f>C11-D11+E11</f>
        <v>-550054.67</v>
      </c>
      <c r="G11" s="23"/>
      <c r="H11" s="23"/>
    </row>
    <row r="12" spans="1:8" s="24" customFormat="1" ht="30" customHeight="1">
      <c r="A12" s="7">
        <v>2</v>
      </c>
      <c r="B12" s="22" t="s">
        <v>2</v>
      </c>
      <c r="C12" s="9">
        <v>-151530.29</v>
      </c>
      <c r="D12" s="9"/>
      <c r="E12" s="9"/>
      <c r="F12" s="9">
        <f>C12-D12+E12</f>
        <v>-151530.29</v>
      </c>
      <c r="G12" s="23"/>
      <c r="H12" s="23"/>
    </row>
    <row r="13" spans="1:8" s="24" customFormat="1" ht="33" customHeight="1">
      <c r="A13" s="7">
        <v>3</v>
      </c>
      <c r="B13" s="22" t="s">
        <v>3</v>
      </c>
      <c r="C13" s="9">
        <v>-52139.48</v>
      </c>
      <c r="D13" s="9"/>
      <c r="E13" s="9"/>
      <c r="F13" s="9">
        <f>C13-D13+E13</f>
        <v>-52139.48</v>
      </c>
      <c r="G13" s="23"/>
      <c r="H13" s="23"/>
    </row>
    <row r="14" spans="1:8" s="24" customFormat="1" ht="30" customHeight="1">
      <c r="A14" s="7">
        <v>4</v>
      </c>
      <c r="B14" s="22" t="s">
        <v>51</v>
      </c>
      <c r="C14" s="9">
        <v>-11189.94</v>
      </c>
      <c r="D14" s="9"/>
      <c r="E14" s="9"/>
      <c r="F14" s="9">
        <f>C14-D14+E14</f>
        <v>-11189.94</v>
      </c>
      <c r="G14" s="23"/>
      <c r="H14" s="23"/>
    </row>
    <row r="15" spans="1:6" ht="26.25" customHeight="1">
      <c r="A15" s="7"/>
      <c r="B15" s="22" t="s">
        <v>5</v>
      </c>
      <c r="C15" s="9">
        <f>SUM(C11:C14)</f>
        <v>-764914.38</v>
      </c>
      <c r="D15" s="9">
        <f>SUM(D11:D14)</f>
        <v>0</v>
      </c>
      <c r="E15" s="9">
        <f>SUM(E11:E14)</f>
        <v>0</v>
      </c>
      <c r="F15" s="9">
        <f>SUM(F11:F14)</f>
        <v>-764914.38</v>
      </c>
    </row>
    <row r="16" ht="11.25" customHeight="1"/>
    <row r="17" spans="1:10" ht="15.75">
      <c r="A17" s="147" t="s">
        <v>25</v>
      </c>
      <c r="B17" s="147"/>
      <c r="C17" s="147"/>
      <c r="D17" s="147"/>
      <c r="E17" s="147"/>
      <c r="F17" s="147"/>
      <c r="J17" s="8" t="s">
        <v>44</v>
      </c>
    </row>
    <row r="18" spans="1:8" ht="15.75">
      <c r="A18" s="13"/>
      <c r="B18" s="13"/>
      <c r="C18" s="13"/>
      <c r="D18" s="13"/>
      <c r="E18" s="13"/>
      <c r="F18" s="13"/>
      <c r="H18" s="8" t="s">
        <v>26</v>
      </c>
    </row>
    <row r="19" spans="1:9" ht="33" customHeight="1">
      <c r="A19" s="21" t="s">
        <v>42</v>
      </c>
      <c r="B19" s="149" t="s">
        <v>6</v>
      </c>
      <c r="C19" s="149"/>
      <c r="D19" s="149"/>
      <c r="E19" s="149"/>
      <c r="F19" s="25" t="s">
        <v>13</v>
      </c>
      <c r="G19" s="26"/>
      <c r="H19" s="8">
        <v>7327.7</v>
      </c>
      <c r="I19" s="8">
        <v>6777.5</v>
      </c>
    </row>
    <row r="20" spans="1:10" ht="18" customHeight="1">
      <c r="A20" s="27">
        <v>1</v>
      </c>
      <c r="B20" s="150" t="s">
        <v>7</v>
      </c>
      <c r="C20" s="150"/>
      <c r="D20" s="150"/>
      <c r="E20" s="150"/>
      <c r="F20" s="4">
        <f>H3*12*H19</f>
        <v>230382.888</v>
      </c>
      <c r="G20" s="28"/>
      <c r="H20" s="8" t="s">
        <v>27</v>
      </c>
      <c r="I20" s="8" t="s">
        <v>28</v>
      </c>
      <c r="J20" s="8" t="s">
        <v>29</v>
      </c>
    </row>
    <row r="21" spans="1:10" ht="18" customHeight="1">
      <c r="A21" s="29">
        <v>2</v>
      </c>
      <c r="B21" s="145" t="s">
        <v>8</v>
      </c>
      <c r="C21" s="145"/>
      <c r="D21" s="145"/>
      <c r="E21" s="145"/>
      <c r="F21" s="5">
        <f>0.19*6*I19+0.21*6*I19</f>
        <v>16266</v>
      </c>
      <c r="G21" s="28"/>
      <c r="I21" s="86">
        <f>20537.13/20799.3*H19</f>
        <v>7235.336165207484</v>
      </c>
      <c r="J21" s="86">
        <f>19302.41/19114.1*I19</f>
        <v>6844.271180699066</v>
      </c>
    </row>
    <row r="22" spans="1:10" ht="18" customHeight="1">
      <c r="A22" s="29">
        <v>3</v>
      </c>
      <c r="B22" s="145" t="s">
        <v>30</v>
      </c>
      <c r="C22" s="145"/>
      <c r="D22" s="145"/>
      <c r="E22" s="145"/>
      <c r="F22" s="5">
        <f>H4*12*H19</f>
        <v>251486.664</v>
      </c>
      <c r="G22" s="81" t="s">
        <v>61</v>
      </c>
      <c r="H22" s="8">
        <f>3105*1.202</f>
        <v>3732.21</v>
      </c>
      <c r="I22" s="86">
        <f>I21*12</f>
        <v>86824.03398248981</v>
      </c>
      <c r="J22" s="86">
        <f>J21*12</f>
        <v>82131.25416838878</v>
      </c>
    </row>
    <row r="23" spans="1:8" ht="18" customHeight="1">
      <c r="A23" s="29">
        <v>4</v>
      </c>
      <c r="B23" s="145" t="s">
        <v>31</v>
      </c>
      <c r="C23" s="145"/>
      <c r="D23" s="145"/>
      <c r="E23" s="145"/>
      <c r="F23" s="5">
        <f>H5*12*I19</f>
        <v>101662.5</v>
      </c>
      <c r="G23" s="28"/>
      <c r="H23" s="72">
        <f>2300*1.202</f>
        <v>2764.6</v>
      </c>
    </row>
    <row r="24" spans="1:7" ht="18" customHeight="1">
      <c r="A24" s="29">
        <v>5</v>
      </c>
      <c r="B24" s="145" t="s">
        <v>9</v>
      </c>
      <c r="C24" s="145"/>
      <c r="D24" s="145"/>
      <c r="E24" s="145"/>
      <c r="F24" s="5">
        <f>F25+F26+F27</f>
        <v>26906</v>
      </c>
      <c r="G24" s="28"/>
    </row>
    <row r="25" spans="1:8" ht="16.5" customHeight="1">
      <c r="A25" s="29" t="s">
        <v>10</v>
      </c>
      <c r="B25" s="145" t="s">
        <v>32</v>
      </c>
      <c r="C25" s="145"/>
      <c r="D25" s="145"/>
      <c r="E25" s="145"/>
      <c r="F25" s="6">
        <f>F47</f>
        <v>1449</v>
      </c>
      <c r="G25" s="16" t="s">
        <v>63</v>
      </c>
      <c r="H25" s="8">
        <v>870</v>
      </c>
    </row>
    <row r="26" spans="1:7" ht="16.5" customHeight="1">
      <c r="A26" s="29" t="s">
        <v>10</v>
      </c>
      <c r="B26" s="145" t="s">
        <v>33</v>
      </c>
      <c r="C26" s="145"/>
      <c r="D26" s="145"/>
      <c r="E26" s="145"/>
      <c r="F26" s="6">
        <f>F38+F39+F40+F41+F42+F43+F44+F45+F46+F49+F50+F51+F52+F55+F56+F58+F61+F63+F64+F65</f>
        <v>20804</v>
      </c>
      <c r="G26" s="16"/>
    </row>
    <row r="27" spans="1:7" ht="16.5" customHeight="1">
      <c r="A27" s="29" t="s">
        <v>10</v>
      </c>
      <c r="B27" s="145" t="s">
        <v>34</v>
      </c>
      <c r="C27" s="145"/>
      <c r="D27" s="145"/>
      <c r="E27" s="145"/>
      <c r="F27" s="6">
        <f>F48+F53+F54</f>
        <v>4653</v>
      </c>
      <c r="G27" s="16"/>
    </row>
    <row r="28" spans="1:7" ht="17.25" customHeight="1">
      <c r="A28" s="29">
        <v>6</v>
      </c>
      <c r="B28" s="146" t="s">
        <v>2</v>
      </c>
      <c r="C28" s="146"/>
      <c r="D28" s="146"/>
      <c r="E28" s="146"/>
      <c r="F28" s="6">
        <f>D12</f>
        <v>0</v>
      </c>
      <c r="G28" s="16"/>
    </row>
    <row r="29" spans="1:7" ht="17.25" customHeight="1">
      <c r="A29" s="29">
        <v>7</v>
      </c>
      <c r="B29" s="146" t="s">
        <v>4</v>
      </c>
      <c r="C29" s="146"/>
      <c r="D29" s="146"/>
      <c r="E29" s="146"/>
      <c r="F29" s="6">
        <f>D14</f>
        <v>0</v>
      </c>
      <c r="G29" s="16"/>
    </row>
    <row r="30" spans="1:7" s="32" customFormat="1" ht="21" customHeight="1">
      <c r="A30" s="30"/>
      <c r="B30" s="164" t="s">
        <v>11</v>
      </c>
      <c r="C30" s="164"/>
      <c r="D30" s="164"/>
      <c r="E30" s="164"/>
      <c r="F30" s="31">
        <f>F20+F21+F22+F23+F24+F28+F29</f>
        <v>626704.052</v>
      </c>
      <c r="G30" s="14"/>
    </row>
    <row r="32" spans="1:6" ht="18" customHeight="1">
      <c r="A32" s="137" t="s">
        <v>64</v>
      </c>
      <c r="B32" s="137"/>
      <c r="C32" s="137"/>
      <c r="D32" s="137"/>
      <c r="E32" s="137"/>
      <c r="F32" s="6" t="e">
        <f>#REF!</f>
        <v>#REF!</v>
      </c>
    </row>
    <row r="33" spans="1:6" ht="20.25" customHeight="1">
      <c r="A33" s="137" t="s">
        <v>39</v>
      </c>
      <c r="B33" s="137"/>
      <c r="C33" s="137"/>
      <c r="D33" s="137"/>
      <c r="E33" s="137"/>
      <c r="F33" s="6">
        <f>F15</f>
        <v>-764914.38</v>
      </c>
    </row>
    <row r="34" spans="1:6" ht="18" customHeight="1">
      <c r="A34" s="138" t="s">
        <v>65</v>
      </c>
      <c r="B34" s="138"/>
      <c r="C34" s="138"/>
      <c r="D34" s="138"/>
      <c r="E34" s="138"/>
      <c r="F34" s="6">
        <f>F11</f>
        <v>-550054.67</v>
      </c>
    </row>
    <row r="35" ht="11.25" customHeight="1"/>
    <row r="37" spans="1:6" ht="15.75">
      <c r="A37" s="33" t="s">
        <v>21</v>
      </c>
      <c r="B37" s="33" t="s">
        <v>12</v>
      </c>
      <c r="C37" s="139" t="s">
        <v>35</v>
      </c>
      <c r="D37" s="140"/>
      <c r="E37" s="141"/>
      <c r="F37" s="33" t="s">
        <v>36</v>
      </c>
    </row>
    <row r="38" spans="1:6" s="40" customFormat="1" ht="15.75" customHeight="1">
      <c r="A38" s="37">
        <v>1</v>
      </c>
      <c r="B38" s="38">
        <v>42017</v>
      </c>
      <c r="C38" s="211" t="s">
        <v>46</v>
      </c>
      <c r="D38" s="212"/>
      <c r="E38" s="213"/>
      <c r="F38" s="39">
        <v>492</v>
      </c>
    </row>
    <row r="39" spans="1:6" s="40" customFormat="1" ht="15.75">
      <c r="A39" s="37">
        <v>2</v>
      </c>
      <c r="B39" s="41">
        <v>42034</v>
      </c>
      <c r="C39" s="214" t="s">
        <v>45</v>
      </c>
      <c r="D39" s="215"/>
      <c r="E39" s="216"/>
      <c r="F39" s="42">
        <v>4162</v>
      </c>
    </row>
    <row r="40" spans="1:6" s="40" customFormat="1" ht="30" customHeight="1">
      <c r="A40" s="37">
        <v>3</v>
      </c>
      <c r="B40" s="41">
        <v>42029</v>
      </c>
      <c r="C40" s="161" t="s">
        <v>41</v>
      </c>
      <c r="D40" s="162"/>
      <c r="E40" s="163"/>
      <c r="F40" s="42">
        <v>716</v>
      </c>
    </row>
    <row r="41" spans="1:6" s="46" customFormat="1" ht="15.75">
      <c r="A41" s="43">
        <v>4</v>
      </c>
      <c r="B41" s="44">
        <v>42044</v>
      </c>
      <c r="C41" s="202" t="s">
        <v>46</v>
      </c>
      <c r="D41" s="203"/>
      <c r="E41" s="204"/>
      <c r="F41" s="45">
        <v>1261</v>
      </c>
    </row>
    <row r="42" spans="1:6" s="46" customFormat="1" ht="15.75">
      <c r="A42" s="43">
        <v>5</v>
      </c>
      <c r="B42" s="44">
        <v>42048</v>
      </c>
      <c r="C42" s="202" t="s">
        <v>46</v>
      </c>
      <c r="D42" s="203"/>
      <c r="E42" s="204"/>
      <c r="F42" s="45">
        <v>3295</v>
      </c>
    </row>
    <row r="43" spans="1:6" s="46" customFormat="1" ht="15.75">
      <c r="A43" s="43">
        <v>6</v>
      </c>
      <c r="B43" s="44">
        <v>42060</v>
      </c>
      <c r="C43" s="202" t="s">
        <v>50</v>
      </c>
      <c r="D43" s="203"/>
      <c r="E43" s="204"/>
      <c r="F43" s="45">
        <v>518</v>
      </c>
    </row>
    <row r="44" spans="1:6" s="46" customFormat="1" ht="31.5" customHeight="1">
      <c r="A44" s="43">
        <v>7</v>
      </c>
      <c r="B44" s="44">
        <v>42060</v>
      </c>
      <c r="C44" s="205" t="s">
        <v>41</v>
      </c>
      <c r="D44" s="206"/>
      <c r="E44" s="207"/>
      <c r="F44" s="45">
        <v>716</v>
      </c>
    </row>
    <row r="45" spans="1:6" s="54" customFormat="1" ht="15.75">
      <c r="A45" s="51">
        <v>8</v>
      </c>
      <c r="B45" s="52">
        <v>42080</v>
      </c>
      <c r="C45" s="181" t="s">
        <v>46</v>
      </c>
      <c r="D45" s="182"/>
      <c r="E45" s="183"/>
      <c r="F45" s="53">
        <f>216+492</f>
        <v>708</v>
      </c>
    </row>
    <row r="46" spans="1:6" s="54" customFormat="1" ht="31.5" customHeight="1">
      <c r="A46" s="51">
        <v>9</v>
      </c>
      <c r="B46" s="55">
        <v>42088</v>
      </c>
      <c r="C46" s="217" t="s">
        <v>41</v>
      </c>
      <c r="D46" s="218"/>
      <c r="E46" s="219"/>
      <c r="F46" s="56">
        <v>716</v>
      </c>
    </row>
    <row r="47" spans="1:6" s="48" customFormat="1" ht="34.5" customHeight="1">
      <c r="A47" s="47">
        <v>10</v>
      </c>
      <c r="B47" s="49">
        <v>42108</v>
      </c>
      <c r="C47" s="184" t="s">
        <v>52</v>
      </c>
      <c r="D47" s="185"/>
      <c r="E47" s="186"/>
      <c r="F47" s="50">
        <v>1449</v>
      </c>
    </row>
    <row r="48" spans="1:6" s="48" customFormat="1" ht="15.75">
      <c r="A48" s="47">
        <v>11</v>
      </c>
      <c r="B48" s="49">
        <v>42116</v>
      </c>
      <c r="C48" s="184" t="s">
        <v>48</v>
      </c>
      <c r="D48" s="185"/>
      <c r="E48" s="186"/>
      <c r="F48" s="50">
        <v>3543</v>
      </c>
    </row>
    <row r="49" spans="1:6" s="48" customFormat="1" ht="31.5" customHeight="1">
      <c r="A49" s="47">
        <v>12</v>
      </c>
      <c r="B49" s="49">
        <v>42119</v>
      </c>
      <c r="C49" s="220" t="s">
        <v>41</v>
      </c>
      <c r="D49" s="221"/>
      <c r="E49" s="222"/>
      <c r="F49" s="50">
        <v>716</v>
      </c>
    </row>
    <row r="50" spans="1:6" s="48" customFormat="1" ht="15.75" customHeight="1">
      <c r="A50" s="47">
        <v>13</v>
      </c>
      <c r="B50" s="49">
        <v>42123</v>
      </c>
      <c r="C50" s="184" t="s">
        <v>47</v>
      </c>
      <c r="D50" s="185"/>
      <c r="E50" s="186"/>
      <c r="F50" s="57">
        <v>712</v>
      </c>
    </row>
    <row r="51" spans="1:6" s="61" customFormat="1" ht="15.75">
      <c r="A51" s="58">
        <v>14</v>
      </c>
      <c r="B51" s="59">
        <v>42130</v>
      </c>
      <c r="C51" s="187" t="s">
        <v>49</v>
      </c>
      <c r="D51" s="188"/>
      <c r="E51" s="189"/>
      <c r="F51" s="60">
        <v>1064</v>
      </c>
    </row>
    <row r="52" spans="1:6" s="61" customFormat="1" ht="31.5" customHeight="1">
      <c r="A52" s="58">
        <v>15</v>
      </c>
      <c r="B52" s="62">
        <v>42149</v>
      </c>
      <c r="C52" s="223" t="s">
        <v>41</v>
      </c>
      <c r="D52" s="224"/>
      <c r="E52" s="225"/>
      <c r="F52" s="63">
        <v>716</v>
      </c>
    </row>
    <row r="53" spans="1:6" s="67" customFormat="1" ht="15.75">
      <c r="A53" s="64">
        <v>16</v>
      </c>
      <c r="B53" s="65">
        <v>42157</v>
      </c>
      <c r="C53" s="168" t="s">
        <v>53</v>
      </c>
      <c r="D53" s="169"/>
      <c r="E53" s="170"/>
      <c r="F53" s="66">
        <v>329</v>
      </c>
    </row>
    <row r="54" spans="1:6" s="67" customFormat="1" ht="15.75">
      <c r="A54" s="64">
        <v>17</v>
      </c>
      <c r="B54" s="65">
        <v>42179</v>
      </c>
      <c r="C54" s="168" t="s">
        <v>54</v>
      </c>
      <c r="D54" s="169"/>
      <c r="E54" s="170"/>
      <c r="F54" s="66">
        <v>781</v>
      </c>
    </row>
    <row r="55" spans="1:6" s="67" customFormat="1" ht="31.5" customHeight="1">
      <c r="A55" s="64">
        <v>18</v>
      </c>
      <c r="B55" s="65">
        <v>42180</v>
      </c>
      <c r="C55" s="208" t="s">
        <v>41</v>
      </c>
      <c r="D55" s="209"/>
      <c r="E55" s="210"/>
      <c r="F55" s="66">
        <v>716</v>
      </c>
    </row>
    <row r="56" spans="1:6" s="71" customFormat="1" ht="31.5" customHeight="1">
      <c r="A56" s="68">
        <v>19</v>
      </c>
      <c r="B56" s="69">
        <v>42210</v>
      </c>
      <c r="C56" s="196" t="s">
        <v>41</v>
      </c>
      <c r="D56" s="197"/>
      <c r="E56" s="198"/>
      <c r="F56" s="70">
        <v>716</v>
      </c>
    </row>
    <row r="57" spans="1:6" s="76" customFormat="1" ht="15.75">
      <c r="A57" s="73">
        <v>20</v>
      </c>
      <c r="B57" s="74">
        <v>42237</v>
      </c>
      <c r="C57" s="175" t="s">
        <v>46</v>
      </c>
      <c r="D57" s="176"/>
      <c r="E57" s="177"/>
      <c r="F57" s="75">
        <v>594</v>
      </c>
    </row>
    <row r="58" spans="1:6" s="76" customFormat="1" ht="31.5" customHeight="1">
      <c r="A58" s="73">
        <v>20</v>
      </c>
      <c r="B58" s="74">
        <v>42241</v>
      </c>
      <c r="C58" s="175" t="s">
        <v>41</v>
      </c>
      <c r="D58" s="176"/>
      <c r="E58" s="177"/>
      <c r="F58" s="75">
        <v>716</v>
      </c>
    </row>
    <row r="59" spans="1:6" s="80" customFormat="1" ht="31.5" customHeight="1">
      <c r="A59" s="77">
        <v>21</v>
      </c>
      <c r="B59" s="78">
        <v>42256</v>
      </c>
      <c r="C59" s="178" t="s">
        <v>59</v>
      </c>
      <c r="D59" s="179"/>
      <c r="E59" s="180"/>
      <c r="F59" s="79">
        <v>1398</v>
      </c>
    </row>
    <row r="60" spans="1:6" s="80" customFormat="1" ht="15.75">
      <c r="A60" s="77">
        <v>21</v>
      </c>
      <c r="B60" s="78">
        <v>42264</v>
      </c>
      <c r="C60" s="178" t="s">
        <v>60</v>
      </c>
      <c r="D60" s="179"/>
      <c r="E60" s="180"/>
      <c r="F60" s="79">
        <v>628</v>
      </c>
    </row>
    <row r="61" spans="1:6" s="80" customFormat="1" ht="31.5" customHeight="1">
      <c r="A61" s="77">
        <v>21</v>
      </c>
      <c r="B61" s="78">
        <v>42272</v>
      </c>
      <c r="C61" s="178" t="s">
        <v>41</v>
      </c>
      <c r="D61" s="179"/>
      <c r="E61" s="180"/>
      <c r="F61" s="79">
        <v>716</v>
      </c>
    </row>
    <row r="62" spans="1:6" s="85" customFormat="1" ht="30" customHeight="1">
      <c r="A62" s="82">
        <v>22</v>
      </c>
      <c r="B62" s="83" t="s">
        <v>62</v>
      </c>
      <c r="C62" s="172" t="s">
        <v>59</v>
      </c>
      <c r="D62" s="173"/>
      <c r="E62" s="174"/>
      <c r="F62" s="84">
        <f>807+820+1005</f>
        <v>2632</v>
      </c>
    </row>
    <row r="63" spans="1:6" s="85" customFormat="1" ht="31.5" customHeight="1">
      <c r="A63" s="82">
        <v>22</v>
      </c>
      <c r="B63" s="83">
        <v>42302</v>
      </c>
      <c r="C63" s="172" t="s">
        <v>41</v>
      </c>
      <c r="D63" s="173"/>
      <c r="E63" s="174"/>
      <c r="F63" s="84">
        <v>716</v>
      </c>
    </row>
    <row r="64" spans="1:6" ht="31.5" customHeight="1">
      <c r="A64" s="1">
        <v>23</v>
      </c>
      <c r="B64" s="34">
        <v>42333</v>
      </c>
      <c r="C64" s="199" t="s">
        <v>41</v>
      </c>
      <c r="D64" s="200"/>
      <c r="E64" s="201"/>
      <c r="F64" s="35">
        <v>716</v>
      </c>
    </row>
    <row r="65" spans="1:6" ht="31.5" customHeight="1">
      <c r="A65" s="1">
        <v>24</v>
      </c>
      <c r="B65" s="34">
        <v>42363</v>
      </c>
      <c r="C65" s="199" t="s">
        <v>41</v>
      </c>
      <c r="D65" s="200"/>
      <c r="E65" s="201"/>
      <c r="F65" s="35">
        <v>716</v>
      </c>
    </row>
    <row r="66" spans="1:6" ht="27.75" customHeight="1">
      <c r="A66" s="1"/>
      <c r="B66" s="3"/>
      <c r="C66" s="165"/>
      <c r="D66" s="166"/>
      <c r="E66" s="167"/>
      <c r="F66" s="2"/>
    </row>
    <row r="67" spans="1:6" ht="26.25" customHeight="1">
      <c r="A67" s="7"/>
      <c r="B67" s="10"/>
      <c r="C67" s="190"/>
      <c r="D67" s="191"/>
      <c r="E67" s="192"/>
      <c r="F67" s="9"/>
    </row>
    <row r="68" spans="1:6" ht="28.5" customHeight="1">
      <c r="A68" s="7"/>
      <c r="B68" s="10"/>
      <c r="C68" s="190"/>
      <c r="D68" s="191"/>
      <c r="E68" s="192"/>
      <c r="F68" s="9"/>
    </row>
    <row r="69" spans="1:6" ht="27" customHeight="1">
      <c r="A69" s="7"/>
      <c r="B69" s="10"/>
      <c r="C69" s="190"/>
      <c r="D69" s="191"/>
      <c r="E69" s="192"/>
      <c r="F69" s="9"/>
    </row>
    <row r="70" spans="1:6" ht="26.25" customHeight="1">
      <c r="A70" s="7"/>
      <c r="B70" s="10"/>
      <c r="C70" s="190"/>
      <c r="D70" s="191"/>
      <c r="E70" s="192"/>
      <c r="F70" s="9"/>
    </row>
    <row r="71" spans="1:6" ht="15.75">
      <c r="A71" s="7"/>
      <c r="B71" s="10"/>
      <c r="C71" s="193"/>
      <c r="D71" s="194"/>
      <c r="E71" s="195"/>
      <c r="F71" s="11"/>
    </row>
    <row r="72" spans="1:6" ht="15.75">
      <c r="A72" s="7"/>
      <c r="B72" s="10"/>
      <c r="C72" s="190"/>
      <c r="D72" s="191"/>
      <c r="E72" s="192"/>
      <c r="F72" s="9"/>
    </row>
    <row r="73" spans="1:6" ht="15.75">
      <c r="A73" s="7"/>
      <c r="B73" s="12"/>
      <c r="C73" s="190"/>
      <c r="D73" s="191"/>
      <c r="E73" s="192"/>
      <c r="F73" s="9"/>
    </row>
    <row r="74" spans="1:6" ht="27" customHeight="1">
      <c r="A74" s="7"/>
      <c r="B74" s="10"/>
      <c r="C74" s="190"/>
      <c r="D74" s="191"/>
      <c r="E74" s="192"/>
      <c r="F74" s="9"/>
    </row>
    <row r="75" spans="1:6" ht="15.75">
      <c r="A75" s="7"/>
      <c r="B75" s="10"/>
      <c r="C75" s="193"/>
      <c r="D75" s="194"/>
      <c r="E75" s="195"/>
      <c r="F75" s="11"/>
    </row>
    <row r="76" spans="1:6" s="32" customFormat="1" ht="15.75">
      <c r="A76" s="120" t="s">
        <v>37</v>
      </c>
      <c r="B76" s="120"/>
      <c r="C76" s="120"/>
      <c r="D76" s="120"/>
      <c r="E76" s="120"/>
      <c r="F76" s="36">
        <f>SUM(F38:F75)</f>
        <v>32158</v>
      </c>
    </row>
  </sheetData>
  <sheetProtection selectLockedCells="1" selectUnlockedCells="1"/>
  <mergeCells count="58">
    <mergeCell ref="C62:E62"/>
    <mergeCell ref="C59:E59"/>
    <mergeCell ref="C52:E52"/>
    <mergeCell ref="A1:F1"/>
    <mergeCell ref="A2:F2"/>
    <mergeCell ref="A17:F17"/>
    <mergeCell ref="B19:E19"/>
    <mergeCell ref="B20:E20"/>
    <mergeCell ref="B21:E21"/>
    <mergeCell ref="B28:E28"/>
    <mergeCell ref="B29:E29"/>
    <mergeCell ref="B30:E30"/>
    <mergeCell ref="A32:E32"/>
    <mergeCell ref="B22:E22"/>
    <mergeCell ref="B23:E23"/>
    <mergeCell ref="B24:E24"/>
    <mergeCell ref="B25:E25"/>
    <mergeCell ref="B26:E26"/>
    <mergeCell ref="B27:E27"/>
    <mergeCell ref="C53:E53"/>
    <mergeCell ref="C55:E55"/>
    <mergeCell ref="A33:E33"/>
    <mergeCell ref="A34:E34"/>
    <mergeCell ref="C37:E37"/>
    <mergeCell ref="C38:E38"/>
    <mergeCell ref="C39:E39"/>
    <mergeCell ref="C40:E40"/>
    <mergeCell ref="C46:E46"/>
    <mergeCell ref="C49:E49"/>
    <mergeCell ref="C42:E42"/>
    <mergeCell ref="C45:E45"/>
    <mergeCell ref="C47:E47"/>
    <mergeCell ref="C48:E48"/>
    <mergeCell ref="C51:E51"/>
    <mergeCell ref="C41:E41"/>
    <mergeCell ref="C43:E43"/>
    <mergeCell ref="C44:E44"/>
    <mergeCell ref="C50:E50"/>
    <mergeCell ref="C69:E69"/>
    <mergeCell ref="C70:E70"/>
    <mergeCell ref="C71:E71"/>
    <mergeCell ref="C72:E72"/>
    <mergeCell ref="C73:E73"/>
    <mergeCell ref="C63:E63"/>
    <mergeCell ref="C66:E66"/>
    <mergeCell ref="C64:E64"/>
    <mergeCell ref="C65:E65"/>
    <mergeCell ref="C67:E67"/>
    <mergeCell ref="C60:E60"/>
    <mergeCell ref="C57:E57"/>
    <mergeCell ref="C74:E74"/>
    <mergeCell ref="C75:E75"/>
    <mergeCell ref="A76:E76"/>
    <mergeCell ref="C54:E54"/>
    <mergeCell ref="C56:E56"/>
    <mergeCell ref="C58:E58"/>
    <mergeCell ref="C61:E61"/>
    <mergeCell ref="C68:E6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2017-05-23T10:39:25Z</cp:lastPrinted>
  <dcterms:created xsi:type="dcterms:W3CDTF">2015-10-12T10:40:12Z</dcterms:created>
  <dcterms:modified xsi:type="dcterms:W3CDTF">2018-03-23T08:29:59Z</dcterms:modified>
  <cp:category/>
  <cp:version/>
  <cp:contentType/>
  <cp:contentStatus/>
</cp:coreProperties>
</file>