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(с марта)" sheetId="3" r:id="rId3"/>
    <sheet name="2015" sheetId="4" r:id="rId4"/>
  </sheets>
  <definedNames>
    <definedName name="_xlnm.Print_Area" localSheetId="3">'2015'!$A$1:$F$63</definedName>
    <definedName name="_xlnm.Print_Area" localSheetId="2">'2015 (с марта)'!$A$1:$F$52</definedName>
    <definedName name="_xlnm.Print_Area" localSheetId="1">'2016'!$A$1:$H$40</definedName>
  </definedNames>
  <calcPr fullCalcOnLoad="1" refMode="R1C1"/>
</workbook>
</file>

<file path=xl/sharedStrings.xml><?xml version="1.0" encoding="utf-8"?>
<sst xmlns="http://schemas.openxmlformats.org/spreadsheetml/2006/main" count="338" uniqueCount="121">
  <si>
    <t>Начислено</t>
  </si>
  <si>
    <t>Содержание жилья</t>
  </si>
  <si>
    <t>Вывоз ТБО</t>
  </si>
  <si>
    <t>Уборка подъездов</t>
  </si>
  <si>
    <t>Электроэнергия МОП</t>
  </si>
  <si>
    <t>Итого</t>
  </si>
  <si>
    <t>Вид</t>
  </si>
  <si>
    <t>Услуги управления</t>
  </si>
  <si>
    <t>Обслуживание ВДГО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</si>
  <si>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</si>
  <si>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</si>
  <si>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</si>
  <si>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</si>
  <si>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</si>
  <si>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</si>
  <si>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</si>
  <si>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</si>
  <si>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</si>
  <si>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</si>
  <si>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</si>
  <si>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</si>
  <si>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</si>
  <si>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</si>
  <si>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</si>
  <si>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</si>
  <si>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</si>
  <si>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</si>
  <si>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</si>
  <si>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</si>
  <si>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</si>
  <si>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</si>
  <si>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</si>
  <si>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Санитарное содержание подъездов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</si>
  <si>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</si>
  <si>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</si>
  <si>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</si>
  <si>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</si>
  <si>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</si>
  <si>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</si>
  <si>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</si>
  <si>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Сальдо на 31.12.2015 г</t>
  </si>
  <si>
    <t>Задолженность населения на 31.12.2015 г., в т.ч.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</si>
  <si>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</si>
  <si>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</si>
  <si>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</si>
  <si>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</si>
  <si>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двор</t>
  </si>
  <si>
    <t>ЛК</t>
  </si>
  <si>
    <t>Содержание лифта</t>
  </si>
  <si>
    <t>Обслуживание лифта</t>
  </si>
  <si>
    <t>осмотр э/сетей,смена ламп</t>
  </si>
  <si>
    <t>осмотр э/сетей</t>
  </si>
  <si>
    <t>Ул. Литовский вал, д.49 А</t>
  </si>
  <si>
    <t>В управлении ООО "УК САМБИЯ - ЮГ" - с 01.04.2007 года</t>
  </si>
  <si>
    <t>снятие показания приборов учета</t>
  </si>
  <si>
    <t>смена ламп в МОП</t>
  </si>
  <si>
    <t>осмотр э/сетей, смена ламп</t>
  </si>
  <si>
    <t xml:space="preserve">Остаток на 01.03.2015 г. </t>
  </si>
  <si>
    <t>Задолженность на 01.03.2015 г.</t>
  </si>
  <si>
    <t>Задолженность на 01.03.2015</t>
  </si>
  <si>
    <t>ежемесячно</t>
  </si>
  <si>
    <t>снятие показания приборов учета электроэнергии</t>
  </si>
  <si>
    <t>Наименование</t>
  </si>
  <si>
    <t>Задолженность населения на 31.12.2015 г.</t>
  </si>
  <si>
    <t>Электроэнергия</t>
  </si>
  <si>
    <t>Снятие показаний приборов учета электроэнергии</t>
  </si>
  <si>
    <t>Сальдо на 31.12.2015 г.</t>
  </si>
  <si>
    <t>Справочно: финансовый результат с учетом задолженности</t>
  </si>
  <si>
    <t>Материалы</t>
  </si>
  <si>
    <t>Персонифицированный учет МКД  за  2016 г.</t>
  </si>
  <si>
    <t>В управлении ООО "УК САМБИЯ - ЮГ" - с 01.03.2015 года</t>
  </si>
  <si>
    <t>Задолженность на 01.01.2016</t>
  </si>
  <si>
    <t>Задолженность на 31.12.2016г</t>
  </si>
  <si>
    <t xml:space="preserve">Остаток на 01.01.2016 г. </t>
  </si>
  <si>
    <t>Задолженность на 01.01.2016 г.</t>
  </si>
  <si>
    <t>Сальдо на 31.12.2016 г.</t>
  </si>
  <si>
    <t>Задолженность населения на 31.12.2016 г.</t>
  </si>
  <si>
    <t>Декабрь</t>
  </si>
  <si>
    <t>Осмотр электрических сетей, смена ламп накаливания</t>
  </si>
  <si>
    <t>Установка дверных полотен</t>
  </si>
  <si>
    <t>Периодическое тех. освидетельствование лифта</t>
  </si>
  <si>
    <t>Осмотр электрических сетей</t>
  </si>
  <si>
    <t xml:space="preserve">Осмотр электрических сетей </t>
  </si>
  <si>
    <t xml:space="preserve">Обследование электрических сетей </t>
  </si>
  <si>
    <t>Обследование чердачных и подвальных помещений</t>
  </si>
  <si>
    <t>Ремонт лестничной клетки</t>
  </si>
  <si>
    <t>Обслуживание лифта + освидетельствование</t>
  </si>
  <si>
    <t>Аварийная служба</t>
  </si>
  <si>
    <t>Аварийка</t>
  </si>
  <si>
    <t>Трубо-печные работы</t>
  </si>
  <si>
    <t>Грунт плодородный + транспорт</t>
  </si>
  <si>
    <t>покос входит</t>
  </si>
  <si>
    <t>Хол.вода на соид</t>
  </si>
  <si>
    <t>Водоотведение на соид</t>
  </si>
  <si>
    <t>Электроэнергия на соид</t>
  </si>
  <si>
    <t>Задолженность на 31.11.2016г САМБИЯ-ЮГ</t>
  </si>
  <si>
    <t>Задолженность на 31.12.2016г Старый Город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</si>
  <si>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</si>
  <si>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</si>
  <si>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</si>
  <si>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</si>
  <si>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</si>
  <si>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</si>
  <si>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</si>
  <si>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 нет</t>
  </si>
  <si>
    <t>Обследование электрических сетей.  Смена выключателей</t>
  </si>
  <si>
    <t xml:space="preserve">Обследование электрических сетей.  </t>
  </si>
  <si>
    <t>Обследование электрических сетей.  Автомат.</t>
  </si>
  <si>
    <t>Снятие показаний с приборов учета электроэнергии</t>
  </si>
  <si>
    <t>Обследование электрических сетей.  Смена ламп накаливания</t>
  </si>
  <si>
    <t>Обследование чердачных, подвальных и лест. клеток  на предмет утечки трубопроводов</t>
  </si>
  <si>
    <t>Установка доски объявлений</t>
  </si>
  <si>
    <t>Ремонт метал. ограждения</t>
  </si>
  <si>
    <t>Покос</t>
  </si>
  <si>
    <t>Страхование лифта</t>
  </si>
  <si>
    <t>Техническое обслуживание лифта</t>
  </si>
  <si>
    <t>Ремонт домофона</t>
  </si>
  <si>
    <t>Герметизация трещин, замена отлива</t>
  </si>
  <si>
    <t>Аварийные работы. Нет света</t>
  </si>
  <si>
    <t>снятие показаний общедомового прибора учета э/э</t>
  </si>
  <si>
    <t>ежемесячно с 01.01.2017 по 31.07.2017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</si>
</sst>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4" fontId="2" fillId="13" borderId="10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2" fillId="12" borderId="10" xfId="0" applyFont="1" applyFill="1" applyBorder="1" applyAlignment="1">
      <alignment horizontal="center" vertical="center"/>
    </xf>
    <xf numFmtId="14" fontId="2" fillId="12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1" fillId="33" borderId="24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left" vertical="center" wrapText="1"/>
    </xf>
    <xf numFmtId="0" fontId="2" fillId="38" borderId="23" xfId="0" applyFont="1" applyFill="1" applyBorder="1" applyAlignment="1">
      <alignment horizontal="left" vertical="center" wrapText="1"/>
    </xf>
    <xf numFmtId="0" fontId="2" fillId="38" borderId="2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vertical="center"/>
    </xf>
    <xf numFmtId="0" fontId="2" fillId="41" borderId="22" xfId="0" applyFont="1" applyFill="1" applyBorder="1" applyAlignment="1">
      <alignment horizontal="left" vertical="center" wrapText="1"/>
    </xf>
    <xf numFmtId="0" fontId="2" fillId="41" borderId="23" xfId="0" applyFont="1" applyFill="1" applyBorder="1" applyAlignment="1">
      <alignment horizontal="left" vertical="center" wrapText="1"/>
    </xf>
    <xf numFmtId="0" fontId="2" fillId="41" borderId="24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horizontal="left" wrapText="1"/>
    </xf>
    <xf numFmtId="0" fontId="2" fillId="37" borderId="23" xfId="0" applyFont="1" applyFill="1" applyBorder="1" applyAlignment="1">
      <alignment horizontal="left" wrapText="1"/>
    </xf>
    <xf numFmtId="0" fontId="2" fillId="37" borderId="24" xfId="0" applyFont="1" applyFill="1" applyBorder="1" applyAlignment="1">
      <alignment horizontal="left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40" borderId="22" xfId="0" applyFont="1" applyFill="1" applyBorder="1" applyAlignment="1">
      <alignment horizontal="left" vertical="center" wrapText="1"/>
    </xf>
    <xf numFmtId="0" fontId="2" fillId="40" borderId="23" xfId="0" applyFont="1" applyFill="1" applyBorder="1" applyAlignment="1">
      <alignment horizontal="left" vertical="center" wrapText="1"/>
    </xf>
    <xf numFmtId="0" fontId="2" fillId="40" borderId="24" xfId="0" applyFont="1" applyFill="1" applyBorder="1" applyAlignment="1">
      <alignment horizontal="left" vertical="center" wrapText="1"/>
    </xf>
    <xf numFmtId="0" fontId="2" fillId="39" borderId="22" xfId="0" applyFont="1" applyFill="1" applyBorder="1" applyAlignment="1">
      <alignment horizontal="left" vertical="center" wrapText="1"/>
    </xf>
    <xf numFmtId="0" fontId="2" fillId="39" borderId="23" xfId="0" applyFont="1" applyFill="1" applyBorder="1" applyAlignment="1">
      <alignment horizontal="left" vertical="center" wrapText="1"/>
    </xf>
    <xf numFmtId="0" fontId="2" fillId="39" borderId="24" xfId="0" applyFont="1" applyFill="1" applyBorder="1" applyAlignment="1">
      <alignment horizontal="left" vertical="center" wrapText="1"/>
    </xf>
    <xf numFmtId="4" fontId="2" fillId="3" borderId="22" xfId="0" applyNumberFormat="1" applyFont="1" applyFill="1" applyBorder="1" applyAlignment="1">
      <alignment horizontal="left" vertical="center"/>
    </xf>
    <xf numFmtId="4" fontId="2" fillId="3" borderId="23" xfId="0" applyNumberFormat="1" applyFont="1" applyFill="1" applyBorder="1" applyAlignment="1">
      <alignment horizontal="left" vertical="center"/>
    </xf>
    <xf numFmtId="4" fontId="2" fillId="3" borderId="24" xfId="0" applyNumberFormat="1" applyFont="1" applyFill="1" applyBorder="1" applyAlignment="1">
      <alignment horizontal="left" vertical="center"/>
    </xf>
    <xf numFmtId="0" fontId="42" fillId="33" borderId="0" xfId="0" applyFont="1" applyFill="1" applyAlignment="1">
      <alignment/>
    </xf>
    <xf numFmtId="4" fontId="1" fillId="0" borderId="28" xfId="0" applyNumberFormat="1" applyFont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42" borderId="10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0" fontId="43" fillId="44" borderId="1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43" fillId="33" borderId="22" xfId="0" applyFont="1" applyFill="1" applyBorder="1" applyAlignment="1">
      <alignment horizontal="left" vertical="center"/>
    </xf>
    <xf numFmtId="0" fontId="43" fillId="33" borderId="23" xfId="0" applyFont="1" applyFill="1" applyBorder="1" applyAlignment="1">
      <alignment horizontal="left" vertical="center"/>
    </xf>
    <xf numFmtId="0" fontId="43" fillId="33" borderId="24" xfId="0" applyFont="1" applyFill="1" applyBorder="1" applyAlignment="1">
      <alignment horizontal="left" vertical="center"/>
    </xf>
    <xf numFmtId="0" fontId="43" fillId="45" borderId="10" xfId="0" applyFont="1" applyFill="1" applyBorder="1" applyAlignment="1">
      <alignment horizontal="center" vertical="center"/>
    </xf>
    <xf numFmtId="14" fontId="2" fillId="38" borderId="10" xfId="0" applyNumberFormat="1" applyFont="1" applyFill="1" applyBorder="1" applyAlignment="1">
      <alignment horizontal="center" vertical="center" wrapText="1"/>
    </xf>
    <xf numFmtId="4" fontId="2" fillId="46" borderId="10" xfId="0" applyNumberFormat="1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69">
      <selection activeCell="F42" sqref="F42"/>
    </sheetView>
  </sheetViews>
  <sheetFormatPr defaultColWidth="9.140625" defaultRowHeight="12.75" outlineLevelRow="2"/>
  <cols>
    <col min="1" max="1" width="4.421875" style="14" customWidth="1"/>
    <col min="2" max="2" width="17.00390625" style="7" customWidth="1"/>
    <col min="3" max="3" width="15.57421875" style="7" customWidth="1"/>
    <col min="4" max="4" width="13.57421875" style="7" customWidth="1"/>
    <col min="5" max="5" width="15.8515625" style="7" customWidth="1"/>
    <col min="6" max="6" width="18.140625" style="7" customWidth="1"/>
    <col min="7" max="7" width="10.140625" style="7" customWidth="1"/>
    <col min="8" max="8" width="9.57421875" style="7" bestFit="1" customWidth="1"/>
    <col min="9" max="9" width="11.421875" style="7" customWidth="1"/>
    <col min="10" max="10" width="19.140625" style="7" customWidth="1"/>
    <col min="11" max="16384" width="9.140625" style="7" customWidth="1"/>
  </cols>
  <sheetData>
    <row r="1" spans="1:7" ht="15.75">
      <c r="A1" s="117" t="s">
        <v>97</v>
      </c>
      <c r="B1" s="117"/>
      <c r="C1" s="117"/>
      <c r="D1" s="117"/>
      <c r="E1" s="117"/>
      <c r="F1" s="117"/>
      <c r="G1" s="102"/>
    </row>
    <row r="2" spans="1:8" ht="15.75">
      <c r="A2" s="117" t="s">
        <v>52</v>
      </c>
      <c r="B2" s="117"/>
      <c r="C2" s="117"/>
      <c r="D2" s="117"/>
      <c r="E2" s="117"/>
      <c r="F2" s="117"/>
      <c r="G2" s="12"/>
      <c r="H2" s="13"/>
    </row>
    <row r="3" ht="8.25" customHeight="1"/>
    <row r="4" spans="1:6" ht="15.75" hidden="1" outlineLevel="2">
      <c r="A4" s="15" t="s">
        <v>70</v>
      </c>
      <c r="C4" s="15"/>
      <c r="D4" s="15"/>
      <c r="E4" s="15"/>
      <c r="F4" s="15"/>
    </row>
    <row r="5" spans="1:6" ht="15.75" hidden="1" outlineLevel="2">
      <c r="A5" s="15" t="s">
        <v>15</v>
      </c>
      <c r="C5" s="15"/>
      <c r="D5" s="15">
        <v>2052.72</v>
      </c>
      <c r="E5" s="15" t="s">
        <v>16</v>
      </c>
      <c r="F5" s="15"/>
    </row>
    <row r="6" ht="9" customHeight="1" collapsed="1"/>
    <row r="7" spans="1:6" ht="15.75">
      <c r="A7" s="12" t="s">
        <v>98</v>
      </c>
      <c r="C7" s="12"/>
      <c r="D7" s="16">
        <f>'2016'!H38</f>
        <v>90462.76719999986</v>
      </c>
      <c r="E7" s="12" t="s">
        <v>20</v>
      </c>
      <c r="F7" s="12"/>
    </row>
    <row r="8" spans="1:6" ht="15.75">
      <c r="A8" s="12" t="s">
        <v>99</v>
      </c>
      <c r="C8" s="15"/>
      <c r="D8" s="17">
        <f>'2015 (с марта)'!F38</f>
        <v>-69017.17999999998</v>
      </c>
      <c r="E8" s="15" t="s">
        <v>20</v>
      </c>
      <c r="F8" s="15"/>
    </row>
    <row r="9" spans="2:6" ht="15.75">
      <c r="B9" s="15"/>
      <c r="C9" s="15"/>
      <c r="D9" s="15"/>
      <c r="E9" s="15"/>
      <c r="F9" s="18" t="s">
        <v>21</v>
      </c>
    </row>
    <row r="10" spans="1:10" s="14" customFormat="1" ht="42.75" customHeight="1">
      <c r="A10" s="103" t="s">
        <v>22</v>
      </c>
      <c r="B10" s="19" t="s">
        <v>23</v>
      </c>
      <c r="C10" s="20" t="s">
        <v>100</v>
      </c>
      <c r="D10" s="20" t="s">
        <v>0</v>
      </c>
      <c r="E10" s="20" t="s">
        <v>25</v>
      </c>
      <c r="F10" s="20" t="s">
        <v>101</v>
      </c>
      <c r="J10" s="20" t="s">
        <v>95</v>
      </c>
    </row>
    <row r="11" spans="1:10" s="23" customFormat="1" ht="30" customHeight="1">
      <c r="A11" s="103">
        <v>1</v>
      </c>
      <c r="B11" s="21" t="s">
        <v>1</v>
      </c>
      <c r="C11" s="8">
        <v>-50536.75</v>
      </c>
      <c r="D11" s="8">
        <f>213385.31-171.01</f>
        <v>213214.3</v>
      </c>
      <c r="E11" s="8">
        <v>210959.22</v>
      </c>
      <c r="F11" s="8">
        <f>C11-D11+E11</f>
        <v>-52791.82999999999</v>
      </c>
      <c r="G11" s="7" t="s">
        <v>44</v>
      </c>
      <c r="H11" s="7">
        <v>9.17</v>
      </c>
      <c r="I11" s="36">
        <f>H11*12*I23</f>
        <v>225881.30879999997</v>
      </c>
      <c r="J11" s="8">
        <v>-16.99</v>
      </c>
    </row>
    <row r="12" spans="1:10" s="23" customFormat="1" ht="30" customHeight="1">
      <c r="A12" s="103">
        <v>2</v>
      </c>
      <c r="B12" s="21" t="s">
        <v>2</v>
      </c>
      <c r="C12" s="8">
        <v>-9831.929999999993</v>
      </c>
      <c r="D12" s="8">
        <v>41420.54</v>
      </c>
      <c r="E12" s="8">
        <v>41004.99</v>
      </c>
      <c r="F12" s="8">
        <f>C12-D12+E12</f>
        <v>-10247.479999999996</v>
      </c>
      <c r="G12" s="15" t="s">
        <v>45</v>
      </c>
      <c r="H12" s="7">
        <v>3.39</v>
      </c>
      <c r="I12" s="35">
        <f>H12*12*I23</f>
        <v>83504.64959999999</v>
      </c>
      <c r="J12" s="8">
        <v>-3.3</v>
      </c>
    </row>
    <row r="13" spans="1:10" s="23" customFormat="1" ht="29.25" customHeight="1">
      <c r="A13" s="103">
        <v>3</v>
      </c>
      <c r="B13" s="21" t="s">
        <v>3</v>
      </c>
      <c r="C13" s="8">
        <v>-6892.299999999999</v>
      </c>
      <c r="D13" s="8">
        <v>27855.15</v>
      </c>
      <c r="E13" s="8">
        <v>27978.39</v>
      </c>
      <c r="F13" s="8">
        <f>C13-D13+E13</f>
        <v>-6769.059999999998</v>
      </c>
      <c r="G13" s="15" t="s">
        <v>46</v>
      </c>
      <c r="H13" s="7">
        <f>2.22</f>
        <v>2.22</v>
      </c>
      <c r="I13" s="35">
        <f>H13*12*I23</f>
        <v>54684.46079999999</v>
      </c>
      <c r="J13" s="8">
        <v>-2.5</v>
      </c>
    </row>
    <row r="14" spans="1:10" s="23" customFormat="1" ht="30" customHeight="1">
      <c r="A14" s="103">
        <v>4</v>
      </c>
      <c r="B14" s="21" t="s">
        <v>48</v>
      </c>
      <c r="C14" s="8">
        <v>-6012.930000000004</v>
      </c>
      <c r="D14" s="8">
        <v>31145.2</v>
      </c>
      <c r="E14" s="8">
        <v>33986.87</v>
      </c>
      <c r="F14" s="8">
        <f>C14-D14+E14</f>
        <v>-3171.260000000002</v>
      </c>
      <c r="G14" s="7" t="s">
        <v>47</v>
      </c>
      <c r="H14" s="7">
        <v>1.35</v>
      </c>
      <c r="I14" s="36">
        <f>H14*12*J23</f>
        <v>27375.084000000003</v>
      </c>
      <c r="J14" s="8">
        <v>-3.59</v>
      </c>
    </row>
    <row r="15" spans="1:10" s="23" customFormat="1" ht="30" customHeight="1">
      <c r="A15" s="103">
        <v>5</v>
      </c>
      <c r="B15" s="21" t="s">
        <v>4</v>
      </c>
      <c r="C15" s="8">
        <v>-3037.1799999999967</v>
      </c>
      <c r="D15" s="8">
        <f>6080.95+171.01</f>
        <v>6251.96</v>
      </c>
      <c r="E15" s="8">
        <v>7649.05</v>
      </c>
      <c r="F15" s="8">
        <f>C15-D15+E15</f>
        <v>-1640.0899999999956</v>
      </c>
      <c r="G15" s="7"/>
      <c r="H15" s="7"/>
      <c r="I15" s="36"/>
      <c r="J15" s="8">
        <v>0</v>
      </c>
    </row>
    <row r="16" spans="1:10" s="23" customFormat="1" ht="30" customHeight="1">
      <c r="A16" s="103">
        <v>6</v>
      </c>
      <c r="B16" s="21" t="s">
        <v>92</v>
      </c>
      <c r="C16" s="169">
        <v>0</v>
      </c>
      <c r="D16" s="170">
        <v>891.1</v>
      </c>
      <c r="E16" s="170">
        <v>735.87</v>
      </c>
      <c r="F16" s="171">
        <f>C16-D16+E16</f>
        <v>-155.23000000000002</v>
      </c>
      <c r="H16" s="168" t="s">
        <v>104</v>
      </c>
      <c r="J16" s="8">
        <f>SUM(J11:J15)</f>
        <v>-26.38</v>
      </c>
    </row>
    <row r="17" spans="1:8" s="23" customFormat="1" ht="30" customHeight="1">
      <c r="A17" s="103">
        <v>7</v>
      </c>
      <c r="B17" s="21" t="s">
        <v>93</v>
      </c>
      <c r="C17" s="169">
        <v>0</v>
      </c>
      <c r="D17" s="170">
        <v>479.4</v>
      </c>
      <c r="E17" s="170">
        <v>370.26</v>
      </c>
      <c r="F17" s="171">
        <f>C17-D17+E17</f>
        <v>-109.13999999999999</v>
      </c>
      <c r="H17" s="168" t="s">
        <v>91</v>
      </c>
    </row>
    <row r="18" spans="1:8" s="23" customFormat="1" ht="30" customHeight="1">
      <c r="A18" s="103">
        <v>8</v>
      </c>
      <c r="B18" s="21" t="s">
        <v>94</v>
      </c>
      <c r="C18" s="169">
        <v>0</v>
      </c>
      <c r="D18" s="170">
        <f>49759.68-13791.96</f>
        <v>35967.72</v>
      </c>
      <c r="E18" s="170">
        <v>28950.61</v>
      </c>
      <c r="F18" s="171">
        <f>C18-D18+E18</f>
        <v>-7017.110000000001</v>
      </c>
      <c r="H18" s="168"/>
    </row>
    <row r="19" spans="1:6" ht="26.25" customHeight="1">
      <c r="A19" s="103"/>
      <c r="B19" s="21" t="s">
        <v>5</v>
      </c>
      <c r="C19" s="8">
        <f>SUM(C11:C18)</f>
        <v>-76311.09</v>
      </c>
      <c r="D19" s="8">
        <f>SUM(D11:D18)</f>
        <v>357225.37</v>
      </c>
      <c r="E19" s="8">
        <f>SUM(E11:E18)</f>
        <v>351635.25999999995</v>
      </c>
      <c r="F19" s="8">
        <f>SUM(F11:F18)</f>
        <v>-81901.19999999997</v>
      </c>
    </row>
    <row r="20" ht="11.25" customHeight="1"/>
    <row r="21" spans="1:6" ht="15.75">
      <c r="A21" s="117" t="s">
        <v>26</v>
      </c>
      <c r="B21" s="117"/>
      <c r="C21" s="117"/>
      <c r="D21" s="117"/>
      <c r="E21" s="117"/>
      <c r="F21" s="117"/>
    </row>
    <row r="22" spans="1:10" ht="15.75">
      <c r="A22" s="102"/>
      <c r="B22" s="102"/>
      <c r="C22" s="102"/>
      <c r="D22" s="102"/>
      <c r="E22" s="102"/>
      <c r="F22" s="102"/>
      <c r="I22" s="106" t="s">
        <v>27</v>
      </c>
      <c r="J22" s="106"/>
    </row>
    <row r="23" spans="1:10" ht="33" customHeight="1">
      <c r="A23" s="20" t="s">
        <v>43</v>
      </c>
      <c r="B23" s="107" t="s">
        <v>62</v>
      </c>
      <c r="C23" s="107"/>
      <c r="D23" s="107"/>
      <c r="E23" s="107"/>
      <c r="F23" s="24" t="s">
        <v>14</v>
      </c>
      <c r="G23" s="25"/>
      <c r="I23" s="19">
        <f>D5</f>
        <v>2052.72</v>
      </c>
      <c r="J23" s="19">
        <v>1689.82</v>
      </c>
    </row>
    <row r="24" spans="1:10" ht="18" customHeight="1">
      <c r="A24" s="86">
        <v>1</v>
      </c>
      <c r="B24" s="108" t="s">
        <v>7</v>
      </c>
      <c r="C24" s="108"/>
      <c r="D24" s="108"/>
      <c r="E24" s="108"/>
      <c r="F24" s="87">
        <f>I12</f>
        <v>83504.64959999999</v>
      </c>
      <c r="G24" s="15"/>
      <c r="H24" s="7" t="s">
        <v>28</v>
      </c>
      <c r="I24" s="19" t="s">
        <v>29</v>
      </c>
      <c r="J24" s="19" t="s">
        <v>30</v>
      </c>
    </row>
    <row r="25" spans="1:10" ht="18" customHeight="1">
      <c r="A25" s="88">
        <v>2</v>
      </c>
      <c r="B25" s="112" t="s">
        <v>31</v>
      </c>
      <c r="C25" s="112"/>
      <c r="D25" s="112"/>
      <c r="E25" s="112"/>
      <c r="F25" s="89">
        <f>I13</f>
        <v>54684.46079999999</v>
      </c>
      <c r="G25" s="15"/>
      <c r="I25" s="75">
        <f>7498.27/(3760.1+1865.12)*I23</f>
        <v>2736.221657890714</v>
      </c>
      <c r="J25" s="75">
        <f>5967.69/(1689.82+3760.1)*J23</f>
        <v>1850.3614577461685</v>
      </c>
    </row>
    <row r="26" spans="1:10" ht="18" customHeight="1">
      <c r="A26" s="88">
        <v>3</v>
      </c>
      <c r="B26" s="112" t="s">
        <v>32</v>
      </c>
      <c r="C26" s="112"/>
      <c r="D26" s="112"/>
      <c r="E26" s="112"/>
      <c r="F26" s="89">
        <f>D13</f>
        <v>27855.15</v>
      </c>
      <c r="G26" s="15"/>
      <c r="I26" s="75">
        <f>I25*12</f>
        <v>32834.65989468857</v>
      </c>
      <c r="J26" s="75">
        <f>J25*12</f>
        <v>22204.337492954022</v>
      </c>
    </row>
    <row r="27" spans="1:7" ht="18" customHeight="1">
      <c r="A27" s="88">
        <v>4</v>
      </c>
      <c r="B27" s="112" t="s">
        <v>9</v>
      </c>
      <c r="C27" s="112"/>
      <c r="D27" s="112"/>
      <c r="E27" s="112"/>
      <c r="F27" s="89">
        <f>F28+F29+F31+F30+F32</f>
        <v>36656</v>
      </c>
      <c r="G27" s="17"/>
    </row>
    <row r="28" spans="1:7" ht="18" customHeight="1">
      <c r="A28" s="88" t="s">
        <v>10</v>
      </c>
      <c r="B28" s="112" t="s">
        <v>33</v>
      </c>
      <c r="C28" s="112"/>
      <c r="D28" s="112"/>
      <c r="E28" s="112"/>
      <c r="F28" s="89">
        <f>F66</f>
        <v>654</v>
      </c>
      <c r="G28" s="15"/>
    </row>
    <row r="29" spans="1:7" ht="16.5" customHeight="1">
      <c r="A29" s="88" t="s">
        <v>10</v>
      </c>
      <c r="B29" s="112" t="s">
        <v>34</v>
      </c>
      <c r="C29" s="112"/>
      <c r="D29" s="112"/>
      <c r="E29" s="112"/>
      <c r="F29" s="89">
        <f>F50+F51+F52+F53+F54+F55+F56+F57+F60+F61+F63</f>
        <v>6877</v>
      </c>
      <c r="G29" s="15"/>
    </row>
    <row r="30" spans="1:7" ht="16.5" customHeight="1">
      <c r="A30" s="88" t="s">
        <v>10</v>
      </c>
      <c r="B30" s="112" t="s">
        <v>35</v>
      </c>
      <c r="C30" s="112"/>
      <c r="D30" s="112"/>
      <c r="E30" s="112"/>
      <c r="F30" s="89">
        <f>F67+F68+F86</f>
        <v>24320</v>
      </c>
      <c r="G30" s="15"/>
    </row>
    <row r="31" spans="1:7" ht="16.5" customHeight="1">
      <c r="A31" s="88" t="s">
        <v>10</v>
      </c>
      <c r="B31" s="112" t="s">
        <v>65</v>
      </c>
      <c r="C31" s="112"/>
      <c r="D31" s="112"/>
      <c r="E31" s="112"/>
      <c r="F31" s="89">
        <f>F49+F58+F59+F62+F64+F65</f>
        <v>4065</v>
      </c>
      <c r="G31" s="15"/>
    </row>
    <row r="32" spans="1:7" ht="16.5" customHeight="1">
      <c r="A32" s="88" t="s">
        <v>10</v>
      </c>
      <c r="B32" s="112" t="s">
        <v>87</v>
      </c>
      <c r="C32" s="112"/>
      <c r="D32" s="112"/>
      <c r="E32" s="112"/>
      <c r="F32" s="89">
        <f>F87</f>
        <v>740</v>
      </c>
      <c r="G32" s="17"/>
    </row>
    <row r="33" spans="1:7" ht="16.5" customHeight="1">
      <c r="A33" s="88">
        <v>5</v>
      </c>
      <c r="B33" s="113" t="s">
        <v>86</v>
      </c>
      <c r="C33" s="113"/>
      <c r="D33" s="113"/>
      <c r="E33" s="113"/>
      <c r="F33" s="89">
        <f>F72+F73+F74+F75+F76+F77+F78+F79+F80+F81+F82+F83+F84</f>
        <v>31544.16</v>
      </c>
      <c r="G33" s="15"/>
    </row>
    <row r="34" spans="1:7" ht="17.25" customHeight="1">
      <c r="A34" s="88">
        <v>6</v>
      </c>
      <c r="B34" s="113" t="s">
        <v>2</v>
      </c>
      <c r="C34" s="113"/>
      <c r="D34" s="113"/>
      <c r="E34" s="113"/>
      <c r="F34" s="89">
        <f>D12</f>
        <v>41420.54</v>
      </c>
      <c r="G34" s="15"/>
    </row>
    <row r="35" spans="1:7" ht="17.25" customHeight="1">
      <c r="A35" s="88">
        <v>7</v>
      </c>
      <c r="B35" s="113" t="s">
        <v>4</v>
      </c>
      <c r="C35" s="113"/>
      <c r="D35" s="113"/>
      <c r="E35" s="113"/>
      <c r="F35" s="89">
        <f>D15</f>
        <v>6251.96</v>
      </c>
      <c r="G35" s="15"/>
    </row>
    <row r="36" spans="1:7" ht="17.25" customHeight="1">
      <c r="A36" s="88">
        <v>8</v>
      </c>
      <c r="B36" s="113" t="s">
        <v>116</v>
      </c>
      <c r="C36" s="113"/>
      <c r="D36" s="113"/>
      <c r="E36" s="113"/>
      <c r="F36" s="89">
        <f>F85</f>
        <v>1000</v>
      </c>
      <c r="G36" s="15"/>
    </row>
    <row r="37" spans="1:7" ht="17.25" customHeight="1">
      <c r="A37" s="88">
        <v>9</v>
      </c>
      <c r="B37" s="113" t="s">
        <v>8</v>
      </c>
      <c r="C37" s="113"/>
      <c r="D37" s="113"/>
      <c r="E37" s="113"/>
      <c r="F37" s="89">
        <f>0.24*9*I23+0.71*3*I23</f>
        <v>8806.1688</v>
      </c>
      <c r="G37" s="15"/>
    </row>
    <row r="38" spans="1:7" ht="17.25" customHeight="1">
      <c r="A38" s="28">
        <v>7</v>
      </c>
      <c r="B38" s="113" t="s">
        <v>92</v>
      </c>
      <c r="C38" s="113"/>
      <c r="D38" s="113"/>
      <c r="E38" s="113"/>
      <c r="F38" s="5">
        <f>D16</f>
        <v>891.1</v>
      </c>
      <c r="G38" s="15"/>
    </row>
    <row r="39" spans="1:7" ht="17.25" customHeight="1">
      <c r="A39" s="28">
        <v>8</v>
      </c>
      <c r="B39" s="113" t="s">
        <v>93</v>
      </c>
      <c r="C39" s="113"/>
      <c r="D39" s="113"/>
      <c r="E39" s="113"/>
      <c r="F39" s="5">
        <f>D17</f>
        <v>479.4</v>
      </c>
      <c r="G39" s="15"/>
    </row>
    <row r="40" spans="1:7" ht="17.25" customHeight="1">
      <c r="A40" s="28">
        <v>9</v>
      </c>
      <c r="B40" s="113" t="s">
        <v>94</v>
      </c>
      <c r="C40" s="113"/>
      <c r="D40" s="113"/>
      <c r="E40" s="113"/>
      <c r="F40" s="5">
        <f>D18</f>
        <v>35967.72</v>
      </c>
      <c r="G40" s="15"/>
    </row>
    <row r="41" spans="1:7" ht="17.25" customHeight="1">
      <c r="A41" s="90"/>
      <c r="B41" s="119" t="s">
        <v>11</v>
      </c>
      <c r="C41" s="119"/>
      <c r="D41" s="119"/>
      <c r="E41" s="119"/>
      <c r="F41" s="91">
        <f>F24+F25+F26+F27+F34+F36+F33+F35+F37+F38+F39+F40</f>
        <v>329061.3092</v>
      </c>
      <c r="G41" s="15"/>
    </row>
    <row r="42" spans="1:7" s="31" customFormat="1" ht="21" customHeight="1">
      <c r="A42" s="14"/>
      <c r="B42" s="7"/>
      <c r="C42" s="7"/>
      <c r="D42" s="7"/>
      <c r="E42" s="7"/>
      <c r="F42" s="7"/>
      <c r="G42" s="12"/>
    </row>
    <row r="43" spans="1:6" ht="15.75">
      <c r="A43" s="127" t="s">
        <v>102</v>
      </c>
      <c r="B43" s="128"/>
      <c r="C43" s="128"/>
      <c r="D43" s="128"/>
      <c r="E43" s="129"/>
      <c r="F43" s="5">
        <f>D19-F41+D7</f>
        <v>118626.82799999983</v>
      </c>
    </row>
    <row r="44" spans="1:6" ht="18" customHeight="1">
      <c r="A44" s="120" t="s">
        <v>103</v>
      </c>
      <c r="B44" s="120"/>
      <c r="C44" s="120"/>
      <c r="D44" s="120"/>
      <c r="E44" s="120"/>
      <c r="F44" s="5">
        <f>F19</f>
        <v>-81901.19999999997</v>
      </c>
    </row>
    <row r="45" spans="1:6" ht="20.25" customHeight="1">
      <c r="A45" s="130" t="s">
        <v>67</v>
      </c>
      <c r="B45" s="130"/>
      <c r="C45" s="130"/>
      <c r="D45" s="130"/>
      <c r="E45" s="130"/>
      <c r="F45" s="5">
        <f>F43+F44</f>
        <v>36725.627999999866</v>
      </c>
    </row>
    <row r="46" ht="18" customHeight="1"/>
    <row r="47" ht="11.25" customHeight="1"/>
    <row r="48" spans="1:6" ht="15.75">
      <c r="A48" s="32" t="s">
        <v>22</v>
      </c>
      <c r="B48" s="32" t="s">
        <v>13</v>
      </c>
      <c r="C48" s="121" t="s">
        <v>36</v>
      </c>
      <c r="D48" s="122"/>
      <c r="E48" s="123"/>
      <c r="F48" s="32" t="s">
        <v>37</v>
      </c>
    </row>
    <row r="49" spans="1:6" ht="45.75" customHeight="1">
      <c r="A49" s="32"/>
      <c r="B49" s="194" t="s">
        <v>120</v>
      </c>
      <c r="C49" s="124" t="s">
        <v>119</v>
      </c>
      <c r="D49" s="125"/>
      <c r="E49" s="126"/>
      <c r="F49" s="195">
        <f>170*7</f>
        <v>1190</v>
      </c>
    </row>
    <row r="50" spans="1:6" ht="34.5" customHeight="1">
      <c r="A50" s="175"/>
      <c r="B50" s="176">
        <v>42780</v>
      </c>
      <c r="C50" s="177" t="s">
        <v>105</v>
      </c>
      <c r="D50" s="178"/>
      <c r="E50" s="179"/>
      <c r="F50" s="180">
        <v>560</v>
      </c>
    </row>
    <row r="51" spans="1:6" ht="30.75" customHeight="1">
      <c r="A51" s="175"/>
      <c r="B51" s="176">
        <v>42828</v>
      </c>
      <c r="C51" s="177" t="s">
        <v>106</v>
      </c>
      <c r="D51" s="178"/>
      <c r="E51" s="179"/>
      <c r="F51" s="180">
        <v>850</v>
      </c>
    </row>
    <row r="52" spans="1:7" ht="33" customHeight="1">
      <c r="A52" s="175"/>
      <c r="B52" s="176">
        <v>42831</v>
      </c>
      <c r="C52" s="177" t="s">
        <v>106</v>
      </c>
      <c r="D52" s="178"/>
      <c r="E52" s="179"/>
      <c r="F52" s="180">
        <v>850</v>
      </c>
      <c r="G52" s="14"/>
    </row>
    <row r="53" spans="1:6" ht="33.75" customHeight="1">
      <c r="A53" s="175"/>
      <c r="B53" s="176">
        <v>42892</v>
      </c>
      <c r="C53" s="177" t="s">
        <v>107</v>
      </c>
      <c r="D53" s="178"/>
      <c r="E53" s="179"/>
      <c r="F53" s="180">
        <v>1501</v>
      </c>
    </row>
    <row r="54" spans="1:6" ht="19.5" customHeight="1">
      <c r="A54" s="175"/>
      <c r="B54" s="176">
        <v>42930</v>
      </c>
      <c r="C54" s="177" t="s">
        <v>106</v>
      </c>
      <c r="D54" s="178"/>
      <c r="E54" s="179"/>
      <c r="F54" s="180">
        <v>425</v>
      </c>
    </row>
    <row r="55" spans="1:6" ht="19.5" customHeight="1">
      <c r="A55" s="175"/>
      <c r="B55" s="176">
        <v>42970</v>
      </c>
      <c r="C55" s="177" t="s">
        <v>106</v>
      </c>
      <c r="D55" s="178"/>
      <c r="E55" s="179"/>
      <c r="F55" s="180">
        <v>425</v>
      </c>
    </row>
    <row r="56" spans="1:6" s="78" customFormat="1" ht="19.5" customHeight="1">
      <c r="A56" s="175"/>
      <c r="B56" s="176">
        <v>42972</v>
      </c>
      <c r="C56" s="177" t="s">
        <v>106</v>
      </c>
      <c r="D56" s="178"/>
      <c r="E56" s="179"/>
      <c r="F56" s="180">
        <v>425</v>
      </c>
    </row>
    <row r="57" spans="1:6" ht="19.5" customHeight="1">
      <c r="A57" s="175"/>
      <c r="B57" s="176">
        <v>42975</v>
      </c>
      <c r="C57" s="177" t="s">
        <v>106</v>
      </c>
      <c r="D57" s="178"/>
      <c r="E57" s="179"/>
      <c r="F57" s="180">
        <v>425</v>
      </c>
    </row>
    <row r="58" spans="1:7" ht="37.5" customHeight="1">
      <c r="A58" s="175"/>
      <c r="B58" s="176">
        <v>42978</v>
      </c>
      <c r="C58" s="177" t="s">
        <v>108</v>
      </c>
      <c r="D58" s="178"/>
      <c r="E58" s="179"/>
      <c r="F58" s="180">
        <v>575</v>
      </c>
      <c r="G58" s="14"/>
    </row>
    <row r="59" spans="1:7" ht="37.5" customHeight="1">
      <c r="A59" s="175"/>
      <c r="B59" s="176">
        <v>43008</v>
      </c>
      <c r="C59" s="177" t="s">
        <v>108</v>
      </c>
      <c r="D59" s="178"/>
      <c r="E59" s="179"/>
      <c r="F59" s="180">
        <v>590</v>
      </c>
      <c r="G59" s="14"/>
    </row>
    <row r="60" spans="1:7" ht="35.25" customHeight="1">
      <c r="A60" s="175"/>
      <c r="B60" s="176">
        <v>42993</v>
      </c>
      <c r="C60" s="177" t="s">
        <v>109</v>
      </c>
      <c r="D60" s="178"/>
      <c r="E60" s="179"/>
      <c r="F60" s="180">
        <v>566</v>
      </c>
      <c r="G60" s="14"/>
    </row>
    <row r="61" spans="1:6" ht="19.5" customHeight="1">
      <c r="A61" s="175"/>
      <c r="B61" s="176">
        <v>43038</v>
      </c>
      <c r="C61" s="177" t="s">
        <v>106</v>
      </c>
      <c r="D61" s="178"/>
      <c r="E61" s="179"/>
      <c r="F61" s="180">
        <v>425</v>
      </c>
    </row>
    <row r="62" spans="1:6" ht="29.25" customHeight="1">
      <c r="A62" s="175"/>
      <c r="B62" s="176">
        <v>43039</v>
      </c>
      <c r="C62" s="177" t="s">
        <v>108</v>
      </c>
      <c r="D62" s="178"/>
      <c r="E62" s="179"/>
      <c r="F62" s="180">
        <v>615</v>
      </c>
    </row>
    <row r="63" spans="1:6" s="78" customFormat="1" ht="19.5" customHeight="1">
      <c r="A63" s="175"/>
      <c r="B63" s="176">
        <v>43053</v>
      </c>
      <c r="C63" s="177" t="s">
        <v>106</v>
      </c>
      <c r="D63" s="178"/>
      <c r="E63" s="179"/>
      <c r="F63" s="180">
        <v>425</v>
      </c>
    </row>
    <row r="64" spans="1:6" ht="36" customHeight="1">
      <c r="A64" s="175"/>
      <c r="B64" s="176">
        <v>43069</v>
      </c>
      <c r="C64" s="177" t="s">
        <v>108</v>
      </c>
      <c r="D64" s="178"/>
      <c r="E64" s="179"/>
      <c r="F64" s="180">
        <v>555</v>
      </c>
    </row>
    <row r="65" spans="1:6" s="31" customFormat="1" ht="36" customHeight="1">
      <c r="A65" s="175"/>
      <c r="B65" s="176">
        <v>43098</v>
      </c>
      <c r="C65" s="177" t="s">
        <v>108</v>
      </c>
      <c r="D65" s="178"/>
      <c r="E65" s="179"/>
      <c r="F65" s="180">
        <v>540</v>
      </c>
    </row>
    <row r="66" spans="1:6" ht="49.5" customHeight="1">
      <c r="A66" s="175"/>
      <c r="B66" s="176">
        <v>42713</v>
      </c>
      <c r="C66" s="177" t="s">
        <v>110</v>
      </c>
      <c r="D66" s="178"/>
      <c r="E66" s="179"/>
      <c r="F66" s="181">
        <v>654</v>
      </c>
    </row>
    <row r="67" spans="1:6" ht="15.75">
      <c r="A67" s="175"/>
      <c r="B67" s="176">
        <v>42886</v>
      </c>
      <c r="C67" s="177" t="s">
        <v>111</v>
      </c>
      <c r="D67" s="178"/>
      <c r="E67" s="179"/>
      <c r="F67" s="182">
        <v>3040</v>
      </c>
    </row>
    <row r="68" spans="1:6" ht="15.75">
      <c r="A68" s="175"/>
      <c r="B68" s="176">
        <v>42972</v>
      </c>
      <c r="C68" s="177" t="s">
        <v>112</v>
      </c>
      <c r="D68" s="178"/>
      <c r="E68" s="179"/>
      <c r="F68" s="182">
        <v>1080</v>
      </c>
    </row>
    <row r="69" spans="1:6" ht="15.75">
      <c r="A69" s="175"/>
      <c r="B69" s="176">
        <v>42886</v>
      </c>
      <c r="C69" s="177" t="s">
        <v>113</v>
      </c>
      <c r="D69" s="178"/>
      <c r="E69" s="179"/>
      <c r="F69" s="175">
        <v>961</v>
      </c>
    </row>
    <row r="70" spans="1:6" ht="15.75">
      <c r="A70" s="175"/>
      <c r="B70" s="176">
        <v>42947</v>
      </c>
      <c r="C70" s="177" t="s">
        <v>113</v>
      </c>
      <c r="D70" s="178"/>
      <c r="E70" s="179"/>
      <c r="F70" s="175">
        <v>961</v>
      </c>
    </row>
    <row r="71" spans="1:6" ht="15.75">
      <c r="A71" s="175"/>
      <c r="B71" s="176">
        <v>43008</v>
      </c>
      <c r="C71" s="177" t="s">
        <v>113</v>
      </c>
      <c r="D71" s="178"/>
      <c r="E71" s="179"/>
      <c r="F71" s="175">
        <v>961</v>
      </c>
    </row>
    <row r="72" spans="1:6" ht="15.75">
      <c r="A72" s="175"/>
      <c r="B72" s="176">
        <v>42754</v>
      </c>
      <c r="C72" s="190" t="s">
        <v>114</v>
      </c>
      <c r="D72" s="191"/>
      <c r="E72" s="192"/>
      <c r="F72" s="197">
        <f>392.16*1</f>
        <v>392.16</v>
      </c>
    </row>
    <row r="73" spans="1:6" ht="15.75">
      <c r="A73" s="175"/>
      <c r="B73" s="176">
        <v>42761</v>
      </c>
      <c r="C73" s="190" t="s">
        <v>115</v>
      </c>
      <c r="D73" s="191"/>
      <c r="E73" s="192"/>
      <c r="F73" s="197">
        <f aca="true" t="shared" si="0" ref="F73:F84">2360*1+236*1</f>
        <v>2596</v>
      </c>
    </row>
    <row r="74" spans="1:6" ht="15.75">
      <c r="A74" s="175"/>
      <c r="B74" s="176">
        <v>42786</v>
      </c>
      <c r="C74" s="190" t="s">
        <v>115</v>
      </c>
      <c r="D74" s="191"/>
      <c r="E74" s="192"/>
      <c r="F74" s="197">
        <f t="shared" si="0"/>
        <v>2596</v>
      </c>
    </row>
    <row r="75" spans="1:6" ht="15.75">
      <c r="A75" s="175"/>
      <c r="B75" s="176">
        <v>42817</v>
      </c>
      <c r="C75" s="190" t="s">
        <v>115</v>
      </c>
      <c r="D75" s="191"/>
      <c r="E75" s="192"/>
      <c r="F75" s="197">
        <f t="shared" si="0"/>
        <v>2596</v>
      </c>
    </row>
    <row r="76" spans="1:6" ht="15.75">
      <c r="A76" s="175"/>
      <c r="B76" s="176">
        <v>42849</v>
      </c>
      <c r="C76" s="190" t="s">
        <v>115</v>
      </c>
      <c r="D76" s="191"/>
      <c r="E76" s="192"/>
      <c r="F76" s="197">
        <f t="shared" si="0"/>
        <v>2596</v>
      </c>
    </row>
    <row r="77" spans="1:6" ht="15.75">
      <c r="A77" s="175"/>
      <c r="B77" s="176">
        <v>42878</v>
      </c>
      <c r="C77" s="190" t="s">
        <v>115</v>
      </c>
      <c r="D77" s="191"/>
      <c r="E77" s="192"/>
      <c r="F77" s="197">
        <f t="shared" si="0"/>
        <v>2596</v>
      </c>
    </row>
    <row r="78" spans="1:6" ht="15.75">
      <c r="A78" s="175"/>
      <c r="B78" s="176">
        <v>42909</v>
      </c>
      <c r="C78" s="190" t="s">
        <v>115</v>
      </c>
      <c r="D78" s="191"/>
      <c r="E78" s="192"/>
      <c r="F78" s="197">
        <f t="shared" si="0"/>
        <v>2596</v>
      </c>
    </row>
    <row r="79" spans="1:6" ht="15.75">
      <c r="A79" s="175"/>
      <c r="B79" s="176">
        <v>42940</v>
      </c>
      <c r="C79" s="190" t="s">
        <v>115</v>
      </c>
      <c r="D79" s="191"/>
      <c r="E79" s="192"/>
      <c r="F79" s="197">
        <f t="shared" si="0"/>
        <v>2596</v>
      </c>
    </row>
    <row r="80" spans="1:6" ht="15.75">
      <c r="A80" s="175"/>
      <c r="B80" s="176">
        <v>42970</v>
      </c>
      <c r="C80" s="190" t="s">
        <v>115</v>
      </c>
      <c r="D80" s="191"/>
      <c r="E80" s="192"/>
      <c r="F80" s="197">
        <f t="shared" si="0"/>
        <v>2596</v>
      </c>
    </row>
    <row r="81" spans="1:6" ht="15.75">
      <c r="A81" s="175"/>
      <c r="B81" s="176">
        <v>43000</v>
      </c>
      <c r="C81" s="190" t="s">
        <v>115</v>
      </c>
      <c r="D81" s="191"/>
      <c r="E81" s="192"/>
      <c r="F81" s="197">
        <f t="shared" si="0"/>
        <v>2596</v>
      </c>
    </row>
    <row r="82" spans="1:6" ht="15.75">
      <c r="A82" s="175"/>
      <c r="B82" s="176">
        <v>43031</v>
      </c>
      <c r="C82" s="190" t="s">
        <v>115</v>
      </c>
      <c r="D82" s="191"/>
      <c r="E82" s="192"/>
      <c r="F82" s="197">
        <f t="shared" si="0"/>
        <v>2596</v>
      </c>
    </row>
    <row r="83" spans="1:6" ht="15.75">
      <c r="A83" s="175"/>
      <c r="B83" s="176">
        <v>43061</v>
      </c>
      <c r="C83" s="190" t="s">
        <v>115</v>
      </c>
      <c r="D83" s="191"/>
      <c r="E83" s="192"/>
      <c r="F83" s="197">
        <f t="shared" si="0"/>
        <v>2596</v>
      </c>
    </row>
    <row r="84" spans="1:6" ht="15.75">
      <c r="A84" s="175"/>
      <c r="B84" s="176">
        <v>43083</v>
      </c>
      <c r="C84" s="190" t="s">
        <v>115</v>
      </c>
      <c r="D84" s="191"/>
      <c r="E84" s="192"/>
      <c r="F84" s="197">
        <f t="shared" si="0"/>
        <v>2596</v>
      </c>
    </row>
    <row r="85" spans="1:6" ht="15.75">
      <c r="A85" s="175"/>
      <c r="B85" s="176">
        <v>42884</v>
      </c>
      <c r="C85" s="190" t="s">
        <v>116</v>
      </c>
      <c r="D85" s="191"/>
      <c r="E85" s="192"/>
      <c r="F85" s="175">
        <v>1000</v>
      </c>
    </row>
    <row r="86" spans="1:6" ht="15.75">
      <c r="A86" s="175"/>
      <c r="B86" s="176">
        <v>42979</v>
      </c>
      <c r="C86" s="190" t="s">
        <v>117</v>
      </c>
      <c r="D86" s="191"/>
      <c r="E86" s="192"/>
      <c r="F86" s="182">
        <v>20200</v>
      </c>
    </row>
    <row r="87" spans="1:6" ht="15.75">
      <c r="A87" s="175"/>
      <c r="B87" s="176">
        <v>43093</v>
      </c>
      <c r="C87" s="190" t="s">
        <v>118</v>
      </c>
      <c r="D87" s="191"/>
      <c r="E87" s="192"/>
      <c r="F87" s="193">
        <v>740</v>
      </c>
    </row>
    <row r="88" spans="1:6" ht="15.75">
      <c r="A88" s="175"/>
      <c r="B88" s="175"/>
      <c r="C88" s="183"/>
      <c r="D88" s="184"/>
      <c r="E88" s="185"/>
      <c r="F88" s="175"/>
    </row>
    <row r="89" spans="1:6" ht="15.75">
      <c r="A89" s="175"/>
      <c r="B89" s="175"/>
      <c r="C89" s="183"/>
      <c r="D89" s="184"/>
      <c r="E89" s="185"/>
      <c r="F89" s="175"/>
    </row>
    <row r="90" spans="1:6" ht="15.75">
      <c r="A90" s="103"/>
      <c r="B90" s="9"/>
      <c r="C90" s="137"/>
      <c r="D90" s="138"/>
      <c r="E90" s="139"/>
      <c r="F90" s="10"/>
    </row>
    <row r="91" spans="1:6" ht="15.75">
      <c r="A91" s="118" t="s">
        <v>38</v>
      </c>
      <c r="B91" s="118"/>
      <c r="C91" s="118"/>
      <c r="D91" s="118"/>
      <c r="E91" s="118"/>
      <c r="F91" s="33">
        <f>SUM(F49:F90)</f>
        <v>72083.16</v>
      </c>
    </row>
    <row r="92" spans="1:6" ht="15.75">
      <c r="A92" s="186"/>
      <c r="B92" s="187"/>
      <c r="C92" s="188"/>
      <c r="D92" s="189"/>
      <c r="E92" s="186"/>
      <c r="F92" s="186"/>
    </row>
    <row r="93" spans="1:6" ht="15.75">
      <c r="A93" s="186"/>
      <c r="B93" s="187"/>
      <c r="C93" s="188"/>
      <c r="D93" s="189"/>
      <c r="E93" s="186"/>
      <c r="F93" s="186"/>
    </row>
    <row r="94" spans="1:6" ht="15.75">
      <c r="A94" s="186"/>
      <c r="B94" s="186"/>
      <c r="C94" s="186"/>
      <c r="D94" s="186"/>
      <c r="E94" s="186"/>
      <c r="F94" s="196"/>
    </row>
    <row r="95" spans="1:6" ht="15.75">
      <c r="A95" s="186"/>
      <c r="B95" s="186"/>
      <c r="C95" s="186"/>
      <c r="D95" s="186"/>
      <c r="E95" s="186"/>
      <c r="F95" s="186"/>
    </row>
    <row r="96" spans="1:6" ht="15.75">
      <c r="A96" s="186"/>
      <c r="B96" s="186"/>
      <c r="C96" s="186"/>
      <c r="D96" s="186"/>
      <c r="E96" s="186"/>
      <c r="F96" s="186"/>
    </row>
    <row r="97" spans="1:6" ht="15.75">
      <c r="A97" s="186"/>
      <c r="B97" s="186"/>
      <c r="C97" s="186"/>
      <c r="D97" s="186"/>
      <c r="E97" s="186"/>
      <c r="F97" s="186"/>
    </row>
  </sheetData>
  <sheetProtection/>
  <mergeCells count="68">
    <mergeCell ref="C84:E84"/>
    <mergeCell ref="C85:E85"/>
    <mergeCell ref="C86:E86"/>
    <mergeCell ref="C87:E87"/>
    <mergeCell ref="C49:E49"/>
    <mergeCell ref="C72:E72"/>
    <mergeCell ref="C73:E73"/>
    <mergeCell ref="C74:E74"/>
    <mergeCell ref="C75:E75"/>
    <mergeCell ref="C76:E76"/>
    <mergeCell ref="C77:E77"/>
    <mergeCell ref="C78:E78"/>
    <mergeCell ref="C79:E79"/>
    <mergeCell ref="C71:E71"/>
    <mergeCell ref="C90:E90"/>
    <mergeCell ref="A91:E91"/>
    <mergeCell ref="C80:E80"/>
    <mergeCell ref="C81:E81"/>
    <mergeCell ref="C82:E82"/>
    <mergeCell ref="C83:E83"/>
    <mergeCell ref="C65:E65"/>
    <mergeCell ref="C66:E66"/>
    <mergeCell ref="C67:E67"/>
    <mergeCell ref="C68:E68"/>
    <mergeCell ref="C69:E69"/>
    <mergeCell ref="C70:E70"/>
    <mergeCell ref="C63:E63"/>
    <mergeCell ref="B38:E38"/>
    <mergeCell ref="B39:E39"/>
    <mergeCell ref="B40:E40"/>
    <mergeCell ref="C59:E59"/>
    <mergeCell ref="C64:E64"/>
    <mergeCell ref="C56:E56"/>
    <mergeCell ref="C57:E57"/>
    <mergeCell ref="C58:E58"/>
    <mergeCell ref="C60:E60"/>
    <mergeCell ref="C61:E61"/>
    <mergeCell ref="C62:E62"/>
    <mergeCell ref="C50:E50"/>
    <mergeCell ref="C51:E51"/>
    <mergeCell ref="C52:E52"/>
    <mergeCell ref="C53:E53"/>
    <mergeCell ref="C54:E54"/>
    <mergeCell ref="C55:E55"/>
    <mergeCell ref="B37:E37"/>
    <mergeCell ref="B41:E41"/>
    <mergeCell ref="A43:E43"/>
    <mergeCell ref="A44:E44"/>
    <mergeCell ref="A45:E45"/>
    <mergeCell ref="C48:E48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A1:F1"/>
    <mergeCell ref="A2:F2"/>
    <mergeCell ref="A21:F21"/>
    <mergeCell ref="I22:J22"/>
    <mergeCell ref="B23:E23"/>
    <mergeCell ref="B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9"/>
  <sheetViews>
    <sheetView view="pageBreakPreview" zoomScaleSheetLayoutView="100" zoomScalePageLayoutView="0" workbookViewId="0" topLeftCell="A10">
      <selection activeCell="F10" sqref="F10:F17"/>
    </sheetView>
  </sheetViews>
  <sheetFormatPr defaultColWidth="9.140625" defaultRowHeight="12.75" outlineLevelRow="2"/>
  <cols>
    <col min="1" max="1" width="4.421875" style="14" customWidth="1"/>
    <col min="2" max="2" width="17.00390625" style="7" customWidth="1"/>
    <col min="3" max="3" width="15.57421875" style="7" customWidth="1"/>
    <col min="4" max="4" width="13.57421875" style="7" customWidth="1"/>
    <col min="5" max="7" width="15.8515625" style="7" customWidth="1"/>
    <col min="8" max="8" width="18.140625" style="7" customWidth="1"/>
    <col min="9" max="9" width="10.140625" style="7" customWidth="1"/>
    <col min="10" max="10" width="9.57421875" style="7" bestFit="1" customWidth="1"/>
    <col min="11" max="11" width="11.421875" style="7" customWidth="1"/>
    <col min="12" max="12" width="11.00390625" style="7" customWidth="1"/>
    <col min="13" max="16384" width="9.140625" style="7" customWidth="1"/>
  </cols>
  <sheetData>
    <row r="1" spans="1:9" ht="15.75">
      <c r="A1" s="117" t="s">
        <v>69</v>
      </c>
      <c r="B1" s="117"/>
      <c r="C1" s="117"/>
      <c r="D1" s="117"/>
      <c r="E1" s="117"/>
      <c r="F1" s="117"/>
      <c r="G1" s="117"/>
      <c r="H1" s="117"/>
      <c r="I1" s="81"/>
    </row>
    <row r="2" spans="1:10" ht="15.75">
      <c r="A2" s="117" t="s">
        <v>52</v>
      </c>
      <c r="B2" s="117"/>
      <c r="C2" s="117"/>
      <c r="D2" s="117"/>
      <c r="E2" s="117"/>
      <c r="F2" s="117"/>
      <c r="G2" s="117"/>
      <c r="H2" s="117"/>
      <c r="I2" s="12"/>
      <c r="J2" s="13"/>
    </row>
    <row r="3" ht="9" customHeight="1"/>
    <row r="4" spans="1:8" ht="15.75" outlineLevel="2">
      <c r="A4" s="15" t="s">
        <v>70</v>
      </c>
      <c r="C4" s="15"/>
      <c r="D4" s="15"/>
      <c r="E4" s="15"/>
      <c r="F4" s="15"/>
      <c r="G4" s="15"/>
      <c r="H4" s="15"/>
    </row>
    <row r="5" spans="1:8" ht="15.75" outlineLevel="2">
      <c r="A5" s="15" t="s">
        <v>15</v>
      </c>
      <c r="C5" s="15"/>
      <c r="D5" s="15">
        <v>1909.52</v>
      </c>
      <c r="E5" s="15" t="s">
        <v>16</v>
      </c>
      <c r="F5" s="15"/>
      <c r="G5" s="15"/>
      <c r="H5" s="15"/>
    </row>
    <row r="6" ht="9" customHeight="1"/>
    <row r="7" spans="1:8" ht="15.75">
      <c r="A7" s="12" t="s">
        <v>73</v>
      </c>
      <c r="C7" s="12"/>
      <c r="D7" s="16">
        <f>'2015 (с марта)'!F37</f>
        <v>61434.32799999995</v>
      </c>
      <c r="E7" s="12" t="s">
        <v>20</v>
      </c>
      <c r="F7" s="12"/>
      <c r="G7" s="12"/>
      <c r="H7" s="12"/>
    </row>
    <row r="8" spans="1:8" ht="15.75">
      <c r="A8" s="12" t="s">
        <v>74</v>
      </c>
      <c r="C8" s="15"/>
      <c r="D8" s="17">
        <f>'2015 (с марта)'!F38</f>
        <v>-69017.17999999998</v>
      </c>
      <c r="E8" s="15" t="s">
        <v>20</v>
      </c>
      <c r="F8" s="15"/>
      <c r="G8" s="15"/>
      <c r="H8" s="15"/>
    </row>
    <row r="9" spans="2:8" ht="15.75">
      <c r="B9" s="15"/>
      <c r="C9" s="15"/>
      <c r="D9" s="15"/>
      <c r="E9" s="15"/>
      <c r="F9" s="15"/>
      <c r="G9" s="15"/>
      <c r="H9" s="18" t="s">
        <v>21</v>
      </c>
    </row>
    <row r="10" spans="1:8" s="14" customFormat="1" ht="48" customHeight="1">
      <c r="A10" s="82" t="s">
        <v>22</v>
      </c>
      <c r="B10" s="19" t="s">
        <v>23</v>
      </c>
      <c r="C10" s="20" t="s">
        <v>71</v>
      </c>
      <c r="D10" s="20" t="s">
        <v>0</v>
      </c>
      <c r="E10" s="20" t="s">
        <v>25</v>
      </c>
      <c r="F10" s="20" t="s">
        <v>95</v>
      </c>
      <c r="G10" s="20" t="s">
        <v>96</v>
      </c>
      <c r="H10" s="20" t="s">
        <v>72</v>
      </c>
    </row>
    <row r="11" spans="1:11" s="23" customFormat="1" ht="30" customHeight="1">
      <c r="A11" s="82">
        <v>1</v>
      </c>
      <c r="B11" s="21" t="s">
        <v>1</v>
      </c>
      <c r="C11" s="8">
        <f>'2015 (с марта)'!F11</f>
        <v>-34503.919999999984</v>
      </c>
      <c r="D11" s="8">
        <f>192613.31+17510.29</f>
        <v>210123.6</v>
      </c>
      <c r="E11" s="8">
        <v>194090.77</v>
      </c>
      <c r="F11" s="8">
        <v>-16.99</v>
      </c>
      <c r="G11" s="8">
        <v>-50536.75</v>
      </c>
      <c r="H11" s="8">
        <f>C11-D11+E11+F11</f>
        <v>-50553.74</v>
      </c>
      <c r="I11" s="7" t="s">
        <v>44</v>
      </c>
      <c r="J11" s="7">
        <v>9.17</v>
      </c>
      <c r="K11" s="36">
        <f>J11*12*K21</f>
        <v>210123.5808</v>
      </c>
    </row>
    <row r="12" spans="1:11" s="23" customFormat="1" ht="30" customHeight="1">
      <c r="A12" s="82">
        <v>2</v>
      </c>
      <c r="B12" s="21" t="s">
        <v>2</v>
      </c>
      <c r="C12" s="8">
        <f>'2015 (с марта)'!F12</f>
        <v>-6697.59</v>
      </c>
      <c r="D12" s="8">
        <f>37388.45+3398.95</f>
        <v>40787.399999999994</v>
      </c>
      <c r="E12" s="8">
        <v>37653.06</v>
      </c>
      <c r="F12" s="8">
        <v>-3.3</v>
      </c>
      <c r="G12" s="8">
        <v>-9831.929999999993</v>
      </c>
      <c r="H12" s="8">
        <f>C12-D12+E12+F12</f>
        <v>-9835.229999999992</v>
      </c>
      <c r="I12" s="15" t="s">
        <v>45</v>
      </c>
      <c r="J12" s="7">
        <v>3.39</v>
      </c>
      <c r="K12" s="35">
        <f>J12*12*K21</f>
        <v>77679.2736</v>
      </c>
    </row>
    <row r="13" spans="1:11" s="23" customFormat="1" ht="29.25" customHeight="1">
      <c r="A13" s="82">
        <v>3</v>
      </c>
      <c r="B13" s="21" t="s">
        <v>3</v>
      </c>
      <c r="C13" s="8">
        <f>'2015 (с марта)'!F13</f>
        <v>-4094.8600000000006</v>
      </c>
      <c r="D13" s="8">
        <f>25093.62+2281.18</f>
        <v>27374.8</v>
      </c>
      <c r="E13" s="8">
        <v>24577.36</v>
      </c>
      <c r="F13" s="8">
        <v>-2.5</v>
      </c>
      <c r="G13" s="8">
        <v>-6892.299999999999</v>
      </c>
      <c r="H13" s="8">
        <f>C13-D13+E13+F13</f>
        <v>-6894.799999999999</v>
      </c>
      <c r="I13" s="15" t="s">
        <v>46</v>
      </c>
      <c r="J13" s="7">
        <f>2.22</f>
        <v>2.22</v>
      </c>
      <c r="K13" s="35">
        <f>J13*12*K21</f>
        <v>50869.6128</v>
      </c>
    </row>
    <row r="14" spans="1:11" s="23" customFormat="1" ht="30" customHeight="1">
      <c r="A14" s="82">
        <v>4</v>
      </c>
      <c r="B14" s="21" t="s">
        <v>48</v>
      </c>
      <c r="C14" s="8">
        <f>'2015 (с марта)'!F14</f>
        <v>-4010.3300000000017</v>
      </c>
      <c r="D14" s="8">
        <f>27917.23+2537.93</f>
        <v>30455.16</v>
      </c>
      <c r="E14" s="8">
        <v>28452.56</v>
      </c>
      <c r="F14" s="8">
        <v>-3.59</v>
      </c>
      <c r="G14" s="8">
        <v>-6012.930000000004</v>
      </c>
      <c r="H14" s="8">
        <f>C14-D14+E14+F14</f>
        <v>-6016.520000000004</v>
      </c>
      <c r="I14" s="7" t="s">
        <v>47</v>
      </c>
      <c r="J14" s="7">
        <v>1.35</v>
      </c>
      <c r="K14" s="36">
        <f>J14*12*L21</f>
        <v>27375.084000000003</v>
      </c>
    </row>
    <row r="15" spans="1:11" s="23" customFormat="1" ht="30" customHeight="1">
      <c r="A15" s="82">
        <v>5</v>
      </c>
      <c r="B15" s="21" t="s">
        <v>4</v>
      </c>
      <c r="C15" s="8">
        <f>'2015 (с марта)'!F15</f>
        <v>-269.7400000000007</v>
      </c>
      <c r="D15" s="8">
        <f>21249.35-1094.83+1094.8</f>
        <v>21249.319999999996</v>
      </c>
      <c r="E15" s="8">
        <v>18481.88</v>
      </c>
      <c r="F15" s="8">
        <v>0</v>
      </c>
      <c r="G15" s="8">
        <v>-3037.1799999999967</v>
      </c>
      <c r="H15" s="8">
        <f>C15-D15+E15+F15</f>
        <v>-3037.1799999999967</v>
      </c>
      <c r="I15" s="7"/>
      <c r="J15" s="7"/>
      <c r="K15" s="36"/>
    </row>
    <row r="16" spans="1:8" s="23" customFormat="1" ht="30" customHeight="1">
      <c r="A16" s="82">
        <v>6</v>
      </c>
      <c r="B16" s="21" t="s">
        <v>64</v>
      </c>
      <c r="C16" s="8">
        <f>'2015 (с марта)'!F16</f>
        <v>-19440.74</v>
      </c>
      <c r="D16" s="8">
        <f>25286.28-59199.22+35263.44-1621.4</f>
        <v>-270.9000000000001</v>
      </c>
      <c r="E16" s="8">
        <v>19169.84</v>
      </c>
      <c r="F16" s="8">
        <v>0</v>
      </c>
      <c r="G16" s="8">
        <v>0</v>
      </c>
      <c r="H16" s="8">
        <f>C16-D16+E16+F16</f>
        <v>0</v>
      </c>
    </row>
    <row r="17" spans="1:8" ht="26.25" customHeight="1">
      <c r="A17" s="82"/>
      <c r="B17" s="21" t="s">
        <v>5</v>
      </c>
      <c r="C17" s="8">
        <f>SUM(C11:C16)</f>
        <v>-69017.17999999998</v>
      </c>
      <c r="D17" s="8">
        <f>SUM(D11:D16)</f>
        <v>329719.37999999995</v>
      </c>
      <c r="E17" s="8">
        <f>SUM(E11:E16)</f>
        <v>322425.47000000003</v>
      </c>
      <c r="F17" s="8">
        <f>SUM(F11:F16)</f>
        <v>-26.38</v>
      </c>
      <c r="G17" s="8">
        <f>SUM(G11:G16)</f>
        <v>-76311.09</v>
      </c>
      <c r="H17" s="8">
        <f>SUM(H11:H16)</f>
        <v>-76337.46999999999</v>
      </c>
    </row>
    <row r="18" ht="11.25" customHeight="1"/>
    <row r="19" spans="1:8" ht="15.75">
      <c r="A19" s="117" t="s">
        <v>26</v>
      </c>
      <c r="B19" s="117"/>
      <c r="C19" s="117"/>
      <c r="D19" s="117"/>
      <c r="E19" s="117"/>
      <c r="F19" s="117"/>
      <c r="G19" s="117"/>
      <c r="H19" s="117"/>
    </row>
    <row r="20" spans="1:12" ht="15.75">
      <c r="A20" s="81"/>
      <c r="B20" s="81"/>
      <c r="C20" s="81"/>
      <c r="D20" s="81"/>
      <c r="E20" s="81"/>
      <c r="F20" s="102"/>
      <c r="G20" s="102"/>
      <c r="H20" s="81"/>
      <c r="K20" s="106" t="s">
        <v>27</v>
      </c>
      <c r="L20" s="106"/>
    </row>
    <row r="21" spans="1:12" ht="33" customHeight="1">
      <c r="A21" s="20" t="s">
        <v>43</v>
      </c>
      <c r="B21" s="107" t="s">
        <v>62</v>
      </c>
      <c r="C21" s="107"/>
      <c r="D21" s="107"/>
      <c r="E21" s="107"/>
      <c r="F21" s="104"/>
      <c r="G21" s="104"/>
      <c r="H21" s="24" t="s">
        <v>14</v>
      </c>
      <c r="I21" s="25"/>
      <c r="K21" s="19">
        <f>D5</f>
        <v>1909.52</v>
      </c>
      <c r="L21" s="19">
        <v>1689.82</v>
      </c>
    </row>
    <row r="22" spans="1:12" ht="18" customHeight="1">
      <c r="A22" s="86">
        <v>1</v>
      </c>
      <c r="B22" s="108" t="s">
        <v>7</v>
      </c>
      <c r="C22" s="108"/>
      <c r="D22" s="108"/>
      <c r="E22" s="108"/>
      <c r="F22" s="172"/>
      <c r="G22" s="172"/>
      <c r="H22" s="87">
        <f>K12</f>
        <v>77679.2736</v>
      </c>
      <c r="I22" s="15"/>
      <c r="J22" s="7" t="s">
        <v>28</v>
      </c>
      <c r="K22" s="19" t="s">
        <v>29</v>
      </c>
      <c r="L22" s="19" t="s">
        <v>30</v>
      </c>
    </row>
    <row r="23" spans="1:12" ht="18" customHeight="1">
      <c r="A23" s="88">
        <v>2</v>
      </c>
      <c r="B23" s="112" t="s">
        <v>31</v>
      </c>
      <c r="C23" s="112"/>
      <c r="D23" s="112"/>
      <c r="E23" s="112"/>
      <c r="F23" s="173"/>
      <c r="G23" s="173"/>
      <c r="H23" s="89">
        <f>K13</f>
        <v>50869.6128</v>
      </c>
      <c r="I23" s="15"/>
      <c r="K23" s="75">
        <f>7498.27/(3760.1+1865.12)*K21</f>
        <v>2545.3398321132336</v>
      </c>
      <c r="L23" s="75">
        <f>5967.69/(1689.82+3760.1)*L21</f>
        <v>1850.3614577461685</v>
      </c>
    </row>
    <row r="24" spans="1:12" ht="18" customHeight="1">
      <c r="A24" s="88">
        <v>3</v>
      </c>
      <c r="B24" s="112" t="s">
        <v>32</v>
      </c>
      <c r="C24" s="112"/>
      <c r="D24" s="112"/>
      <c r="E24" s="112"/>
      <c r="F24" s="173"/>
      <c r="G24" s="173"/>
      <c r="H24" s="89">
        <f>K14</f>
        <v>27375.084000000003</v>
      </c>
      <c r="I24" s="15"/>
      <c r="K24" s="75">
        <f>K23*12</f>
        <v>30544.077985358803</v>
      </c>
      <c r="L24" s="75">
        <f>L23*12</f>
        <v>22204.337492954022</v>
      </c>
    </row>
    <row r="25" spans="1:9" ht="18" customHeight="1">
      <c r="A25" s="88">
        <v>4</v>
      </c>
      <c r="B25" s="112" t="s">
        <v>9</v>
      </c>
      <c r="C25" s="112"/>
      <c r="D25" s="112"/>
      <c r="E25" s="112"/>
      <c r="F25" s="173"/>
      <c r="G25" s="173"/>
      <c r="H25" s="89">
        <f>H26+H27+H29+H28+H30</f>
        <v>45134</v>
      </c>
      <c r="I25" s="17">
        <f>H25+H50</f>
        <v>47734</v>
      </c>
    </row>
    <row r="26" spans="1:9" ht="18" customHeight="1">
      <c r="A26" s="88" t="s">
        <v>10</v>
      </c>
      <c r="B26" s="112" t="s">
        <v>33</v>
      </c>
      <c r="C26" s="112"/>
      <c r="D26" s="112"/>
      <c r="E26" s="112"/>
      <c r="F26" s="173"/>
      <c r="G26" s="173"/>
      <c r="H26" s="89">
        <f>H56</f>
        <v>377</v>
      </c>
      <c r="I26" s="15"/>
    </row>
    <row r="27" spans="1:9" ht="16.5" customHeight="1">
      <c r="A27" s="88" t="s">
        <v>10</v>
      </c>
      <c r="B27" s="112" t="s">
        <v>34</v>
      </c>
      <c r="C27" s="112"/>
      <c r="D27" s="112"/>
      <c r="E27" s="112"/>
      <c r="F27" s="173"/>
      <c r="G27" s="173"/>
      <c r="H27" s="89">
        <f>H45+H46+H47+H51+H52+H55</f>
        <v>4010</v>
      </c>
      <c r="I27" s="15"/>
    </row>
    <row r="28" spans="1:9" ht="16.5" customHeight="1">
      <c r="A28" s="88" t="s">
        <v>10</v>
      </c>
      <c r="B28" s="112" t="s">
        <v>35</v>
      </c>
      <c r="C28" s="112"/>
      <c r="D28" s="112"/>
      <c r="E28" s="112"/>
      <c r="F28" s="173"/>
      <c r="G28" s="173"/>
      <c r="H28" s="89">
        <f>H57+H49+H53+H48</f>
        <v>37603</v>
      </c>
      <c r="I28" s="15"/>
    </row>
    <row r="29" spans="1:9" ht="16.5" customHeight="1">
      <c r="A29" s="88" t="s">
        <v>10</v>
      </c>
      <c r="B29" s="112" t="s">
        <v>65</v>
      </c>
      <c r="C29" s="112"/>
      <c r="D29" s="112"/>
      <c r="E29" s="112"/>
      <c r="F29" s="173"/>
      <c r="G29" s="173"/>
      <c r="H29" s="89">
        <f>H44</f>
        <v>2040</v>
      </c>
      <c r="I29" s="15"/>
    </row>
    <row r="30" spans="1:9" ht="16.5" customHeight="1">
      <c r="A30" s="88" t="s">
        <v>10</v>
      </c>
      <c r="B30" s="112" t="s">
        <v>87</v>
      </c>
      <c r="C30" s="112"/>
      <c r="D30" s="112"/>
      <c r="E30" s="112"/>
      <c r="F30" s="173"/>
      <c r="G30" s="173"/>
      <c r="H30" s="89">
        <v>1104</v>
      </c>
      <c r="I30" s="15"/>
    </row>
    <row r="31" spans="1:9" ht="16.5" customHeight="1">
      <c r="A31" s="88">
        <v>5</v>
      </c>
      <c r="B31" s="113" t="s">
        <v>86</v>
      </c>
      <c r="C31" s="113"/>
      <c r="D31" s="113"/>
      <c r="E31" s="113"/>
      <c r="F31" s="105"/>
      <c r="G31" s="105"/>
      <c r="H31" s="89">
        <f>D14+H50</f>
        <v>33055.16</v>
      </c>
      <c r="I31" s="15"/>
    </row>
    <row r="32" spans="1:9" ht="17.25" customHeight="1">
      <c r="A32" s="88">
        <v>6</v>
      </c>
      <c r="B32" s="113" t="s">
        <v>2</v>
      </c>
      <c r="C32" s="113"/>
      <c r="D32" s="113"/>
      <c r="E32" s="113"/>
      <c r="F32" s="105"/>
      <c r="G32" s="105"/>
      <c r="H32" s="89">
        <f>D12</f>
        <v>40787.399999999994</v>
      </c>
      <c r="I32" s="15"/>
    </row>
    <row r="33" spans="1:9" ht="17.25" customHeight="1">
      <c r="A33" s="88">
        <v>7</v>
      </c>
      <c r="B33" s="113" t="s">
        <v>4</v>
      </c>
      <c r="C33" s="113"/>
      <c r="D33" s="113"/>
      <c r="E33" s="113"/>
      <c r="F33" s="105"/>
      <c r="G33" s="105"/>
      <c r="H33" s="89">
        <f>D15</f>
        <v>21249.319999999996</v>
      </c>
      <c r="I33" s="15"/>
    </row>
    <row r="34" spans="1:9" ht="17.25" customHeight="1">
      <c r="A34" s="88">
        <v>8</v>
      </c>
      <c r="B34" s="113" t="s">
        <v>64</v>
      </c>
      <c r="C34" s="113"/>
      <c r="D34" s="113"/>
      <c r="E34" s="113"/>
      <c r="F34" s="105"/>
      <c r="G34" s="105"/>
      <c r="H34" s="89">
        <f>D16</f>
        <v>-270.9000000000001</v>
      </c>
      <c r="I34" s="15"/>
    </row>
    <row r="35" spans="1:9" ht="17.25" customHeight="1">
      <c r="A35" s="88">
        <v>9</v>
      </c>
      <c r="B35" s="113" t="s">
        <v>8</v>
      </c>
      <c r="C35" s="113"/>
      <c r="D35" s="113"/>
      <c r="E35" s="113"/>
      <c r="F35" s="105"/>
      <c r="G35" s="105"/>
      <c r="H35" s="89">
        <f>0.21*12*K21</f>
        <v>4811.9904</v>
      </c>
      <c r="I35" s="15"/>
    </row>
    <row r="36" spans="1:9" ht="17.25" customHeight="1">
      <c r="A36" s="90"/>
      <c r="B36" s="119" t="s">
        <v>11</v>
      </c>
      <c r="C36" s="119"/>
      <c r="D36" s="119"/>
      <c r="E36" s="119"/>
      <c r="F36" s="174"/>
      <c r="G36" s="174"/>
      <c r="H36" s="91">
        <f>H22+H23+H24+H25+H32+H34+H31+H33+H35</f>
        <v>300690.94080000004</v>
      </c>
      <c r="I36" s="15"/>
    </row>
    <row r="37" spans="1:9" s="31" customFormat="1" ht="21" customHeight="1">
      <c r="A37" s="14"/>
      <c r="B37" s="7"/>
      <c r="C37" s="7"/>
      <c r="D37" s="7"/>
      <c r="E37" s="7"/>
      <c r="F37" s="7"/>
      <c r="G37" s="7"/>
      <c r="H37" s="7"/>
      <c r="I37" s="12"/>
    </row>
    <row r="38" spans="1:8" ht="15.75">
      <c r="A38" s="127" t="s">
        <v>75</v>
      </c>
      <c r="B38" s="128"/>
      <c r="C38" s="128"/>
      <c r="D38" s="128"/>
      <c r="E38" s="129"/>
      <c r="F38" s="97"/>
      <c r="G38" s="97"/>
      <c r="H38" s="5">
        <f>D17-H36+D7</f>
        <v>90462.76719999986</v>
      </c>
    </row>
    <row r="39" spans="1:8" ht="18" customHeight="1">
      <c r="A39" s="120" t="s">
        <v>76</v>
      </c>
      <c r="B39" s="120"/>
      <c r="C39" s="120"/>
      <c r="D39" s="120"/>
      <c r="E39" s="120"/>
      <c r="F39" s="99"/>
      <c r="G39" s="99"/>
      <c r="H39" s="5">
        <f>H17</f>
        <v>-76337.46999999999</v>
      </c>
    </row>
    <row r="40" spans="1:8" ht="20.25" customHeight="1">
      <c r="A40" s="130" t="s">
        <v>67</v>
      </c>
      <c r="B40" s="130"/>
      <c r="C40" s="130"/>
      <c r="D40" s="130"/>
      <c r="E40" s="130"/>
      <c r="F40" s="100"/>
      <c r="G40" s="100"/>
      <c r="H40" s="5">
        <f>H38+H39</f>
        <v>14125.29719999987</v>
      </c>
    </row>
    <row r="41" ht="18" customHeight="1"/>
    <row r="42" ht="11.25" customHeight="1"/>
    <row r="43" spans="1:8" ht="15.75">
      <c r="A43" s="32" t="s">
        <v>22</v>
      </c>
      <c r="B43" s="32" t="s">
        <v>13</v>
      </c>
      <c r="C43" s="121" t="s">
        <v>36</v>
      </c>
      <c r="D43" s="122"/>
      <c r="E43" s="123"/>
      <c r="F43" s="95"/>
      <c r="G43" s="95"/>
      <c r="H43" s="32" t="s">
        <v>37</v>
      </c>
    </row>
    <row r="44" spans="1:8" ht="19.5" customHeight="1">
      <c r="A44" s="37">
        <v>1</v>
      </c>
      <c r="B44" s="52" t="s">
        <v>60</v>
      </c>
      <c r="C44" s="124" t="s">
        <v>61</v>
      </c>
      <c r="D44" s="125"/>
      <c r="E44" s="126"/>
      <c r="F44" s="96"/>
      <c r="G44" s="96"/>
      <c r="H44" s="53">
        <f>12*170</f>
        <v>2040</v>
      </c>
    </row>
    <row r="45" spans="1:8" s="40" customFormat="1" ht="30.75" customHeight="1">
      <c r="A45" s="83">
        <v>2</v>
      </c>
      <c r="B45" s="85">
        <v>42391</v>
      </c>
      <c r="C45" s="109" t="s">
        <v>78</v>
      </c>
      <c r="D45" s="110"/>
      <c r="E45" s="111"/>
      <c r="F45" s="101"/>
      <c r="G45" s="101"/>
      <c r="H45" s="84">
        <v>683</v>
      </c>
    </row>
    <row r="46" spans="1:9" s="43" customFormat="1" ht="33" customHeight="1">
      <c r="A46" s="83">
        <v>3</v>
      </c>
      <c r="B46" s="85">
        <v>42391</v>
      </c>
      <c r="C46" s="109" t="s">
        <v>78</v>
      </c>
      <c r="D46" s="110"/>
      <c r="E46" s="111"/>
      <c r="F46" s="101"/>
      <c r="G46" s="101"/>
      <c r="H46" s="84">
        <v>629</v>
      </c>
      <c r="I46" s="42"/>
    </row>
    <row r="47" spans="1:8" s="70" customFormat="1" ht="33.75" customHeight="1">
      <c r="A47" s="37">
        <v>4</v>
      </c>
      <c r="B47" s="85">
        <v>42397</v>
      </c>
      <c r="C47" s="109" t="s">
        <v>78</v>
      </c>
      <c r="D47" s="110"/>
      <c r="E47" s="111"/>
      <c r="F47" s="101"/>
      <c r="G47" s="101"/>
      <c r="H47" s="84">
        <v>596</v>
      </c>
    </row>
    <row r="48" spans="1:8" ht="19.5" customHeight="1">
      <c r="A48" s="37">
        <v>7</v>
      </c>
      <c r="B48" s="85">
        <v>42514</v>
      </c>
      <c r="C48" s="114" t="s">
        <v>90</v>
      </c>
      <c r="D48" s="115"/>
      <c r="E48" s="116"/>
      <c r="F48" s="94"/>
      <c r="G48" s="94"/>
      <c r="H48" s="84">
        <f>840+2332</f>
        <v>3172</v>
      </c>
    </row>
    <row r="49" spans="1:8" s="74" customFormat="1" ht="19.5" customHeight="1">
      <c r="A49" s="83">
        <v>5</v>
      </c>
      <c r="B49" s="85">
        <v>42508</v>
      </c>
      <c r="C49" s="114" t="s">
        <v>79</v>
      </c>
      <c r="D49" s="115"/>
      <c r="E49" s="116"/>
      <c r="F49" s="94"/>
      <c r="G49" s="94"/>
      <c r="H49" s="84">
        <v>1336</v>
      </c>
    </row>
    <row r="50" spans="1:8" s="78" customFormat="1" ht="19.5" customHeight="1">
      <c r="A50" s="83">
        <v>6</v>
      </c>
      <c r="B50" s="85">
        <v>42562</v>
      </c>
      <c r="C50" s="114" t="s">
        <v>80</v>
      </c>
      <c r="D50" s="115"/>
      <c r="E50" s="116"/>
      <c r="F50" s="94"/>
      <c r="G50" s="94"/>
      <c r="H50" s="84">
        <v>2600</v>
      </c>
    </row>
    <row r="51" spans="1:8" ht="19.5" customHeight="1">
      <c r="A51" s="37">
        <v>7</v>
      </c>
      <c r="B51" s="85">
        <v>42566</v>
      </c>
      <c r="C51" s="114" t="s">
        <v>81</v>
      </c>
      <c r="D51" s="115"/>
      <c r="E51" s="116"/>
      <c r="F51" s="94"/>
      <c r="G51" s="94"/>
      <c r="H51" s="84">
        <v>984</v>
      </c>
    </row>
    <row r="52" spans="1:9" s="43" customFormat="1" ht="19.5" customHeight="1">
      <c r="A52" s="83">
        <v>8</v>
      </c>
      <c r="B52" s="85">
        <v>42622</v>
      </c>
      <c r="C52" s="114" t="s">
        <v>82</v>
      </c>
      <c r="D52" s="115"/>
      <c r="E52" s="116"/>
      <c r="F52" s="94"/>
      <c r="G52" s="94"/>
      <c r="H52" s="84">
        <v>566</v>
      </c>
      <c r="I52" s="42"/>
    </row>
    <row r="53" spans="1:9" s="43" customFormat="1" ht="19.5" customHeight="1">
      <c r="A53" s="37">
        <v>9</v>
      </c>
      <c r="B53" s="85">
        <v>42698</v>
      </c>
      <c r="C53" s="92" t="s">
        <v>89</v>
      </c>
      <c r="D53" s="93"/>
      <c r="E53" s="94"/>
      <c r="F53" s="94"/>
      <c r="G53" s="94"/>
      <c r="H53" s="84">
        <v>771</v>
      </c>
      <c r="I53" s="42"/>
    </row>
    <row r="54" spans="1:9" s="43" customFormat="1" ht="19.5" customHeight="1">
      <c r="A54" s="83">
        <v>10</v>
      </c>
      <c r="B54" s="85">
        <v>42709</v>
      </c>
      <c r="C54" s="114" t="s">
        <v>88</v>
      </c>
      <c r="D54" s="115"/>
      <c r="E54" s="116"/>
      <c r="F54" s="94"/>
      <c r="G54" s="94"/>
      <c r="H54" s="84">
        <v>1104</v>
      </c>
      <c r="I54" s="42"/>
    </row>
    <row r="55" spans="1:8" s="70" customFormat="1" ht="19.5" customHeight="1">
      <c r="A55" s="83">
        <v>11</v>
      </c>
      <c r="B55" s="85">
        <v>42710</v>
      </c>
      <c r="C55" s="114" t="s">
        <v>83</v>
      </c>
      <c r="D55" s="115"/>
      <c r="E55" s="116"/>
      <c r="F55" s="94"/>
      <c r="G55" s="94"/>
      <c r="H55" s="84">
        <v>552</v>
      </c>
    </row>
    <row r="56" spans="1:8" s="74" customFormat="1" ht="19.5" customHeight="1">
      <c r="A56" s="37">
        <v>12</v>
      </c>
      <c r="B56" s="85">
        <v>42711</v>
      </c>
      <c r="C56" s="114" t="s">
        <v>84</v>
      </c>
      <c r="D56" s="115"/>
      <c r="E56" s="116"/>
      <c r="F56" s="94"/>
      <c r="G56" s="94"/>
      <c r="H56" s="84">
        <v>377</v>
      </c>
    </row>
    <row r="57" spans="1:8" s="78" customFormat="1" ht="19.5" customHeight="1">
      <c r="A57" s="37">
        <v>13</v>
      </c>
      <c r="B57" s="85" t="s">
        <v>77</v>
      </c>
      <c r="C57" s="114" t="s">
        <v>85</v>
      </c>
      <c r="D57" s="115"/>
      <c r="E57" s="116"/>
      <c r="F57" s="94"/>
      <c r="G57" s="94"/>
      <c r="H57" s="84">
        <v>32324</v>
      </c>
    </row>
    <row r="58" spans="1:8" ht="15.75">
      <c r="A58" s="118" t="s">
        <v>38</v>
      </c>
      <c r="B58" s="118"/>
      <c r="C58" s="118"/>
      <c r="D58" s="118"/>
      <c r="E58" s="118"/>
      <c r="F58" s="98"/>
      <c r="G58" s="98"/>
      <c r="H58" s="33">
        <f>SUM(H44:H57)</f>
        <v>47734</v>
      </c>
    </row>
    <row r="59" spans="1:8" s="31" customFormat="1" ht="15.75">
      <c r="A59" s="14"/>
      <c r="B59" s="7"/>
      <c r="C59" s="7"/>
      <c r="D59" s="7"/>
      <c r="E59" s="7"/>
      <c r="F59" s="7"/>
      <c r="G59" s="7"/>
      <c r="H59" s="7"/>
    </row>
  </sheetData>
  <sheetProtection selectLockedCells="1" selectUnlockedCells="1"/>
  <mergeCells count="38">
    <mergeCell ref="C54:E54"/>
    <mergeCell ref="B35:E35"/>
    <mergeCell ref="C43:E43"/>
    <mergeCell ref="C44:E44"/>
    <mergeCell ref="A38:E38"/>
    <mergeCell ref="C50:E50"/>
    <mergeCell ref="C51:E51"/>
    <mergeCell ref="A40:E40"/>
    <mergeCell ref="C49:E49"/>
    <mergeCell ref="A58:E58"/>
    <mergeCell ref="C52:E52"/>
    <mergeCell ref="C55:E55"/>
    <mergeCell ref="C56:E56"/>
    <mergeCell ref="C57:E57"/>
    <mergeCell ref="B32:E32"/>
    <mergeCell ref="B33:E33"/>
    <mergeCell ref="B34:E34"/>
    <mergeCell ref="B36:E36"/>
    <mergeCell ref="A39:E39"/>
    <mergeCell ref="C48:E48"/>
    <mergeCell ref="A1:H1"/>
    <mergeCell ref="A2:H2"/>
    <mergeCell ref="A19:H19"/>
    <mergeCell ref="B23:E23"/>
    <mergeCell ref="B24:E24"/>
    <mergeCell ref="B25:E25"/>
    <mergeCell ref="B26:E26"/>
    <mergeCell ref="B27:E27"/>
    <mergeCell ref="B28:E28"/>
    <mergeCell ref="K20:L20"/>
    <mergeCell ref="B21:E21"/>
    <mergeCell ref="B22:E22"/>
    <mergeCell ref="C47:E47"/>
    <mergeCell ref="B29:E29"/>
    <mergeCell ref="B31:E31"/>
    <mergeCell ref="B30:E30"/>
    <mergeCell ref="C45:E45"/>
    <mergeCell ref="C46:E4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3"/>
  <sheetViews>
    <sheetView view="pageBreakPreview" zoomScaleSheetLayoutView="100" zoomScalePageLayoutView="0" workbookViewId="0" topLeftCell="A6">
      <selection activeCell="F36" sqref="F36"/>
    </sheetView>
  </sheetViews>
  <sheetFormatPr defaultColWidth="9.140625" defaultRowHeight="12.75" outlineLevelRow="2"/>
  <cols>
    <col min="1" max="1" width="4.421875" style="14" customWidth="1"/>
    <col min="2" max="2" width="17.00390625" style="7" customWidth="1"/>
    <col min="3" max="3" width="15.57421875" style="7" customWidth="1"/>
    <col min="4" max="4" width="13.57421875" style="7" customWidth="1"/>
    <col min="5" max="5" width="14.00390625" style="7" customWidth="1"/>
    <col min="6" max="6" width="18.140625" style="7" customWidth="1"/>
    <col min="7" max="7" width="10.140625" style="7" customWidth="1"/>
    <col min="8" max="8" width="9.57421875" style="7" bestFit="1" customWidth="1"/>
    <col min="9" max="9" width="11.421875" style="7" customWidth="1"/>
    <col min="10" max="10" width="11.00390625" style="7" customWidth="1"/>
    <col min="11" max="16384" width="9.140625" style="7" customWidth="1"/>
  </cols>
  <sheetData>
    <row r="1" spans="1:7" ht="15.75">
      <c r="A1" s="117" t="s">
        <v>39</v>
      </c>
      <c r="B1" s="117"/>
      <c r="C1" s="117"/>
      <c r="D1" s="117"/>
      <c r="E1" s="117"/>
      <c r="F1" s="117"/>
      <c r="G1" s="76"/>
    </row>
    <row r="2" spans="1:8" ht="15.75">
      <c r="A2" s="117" t="s">
        <v>52</v>
      </c>
      <c r="B2" s="117"/>
      <c r="C2" s="117"/>
      <c r="D2" s="117"/>
      <c r="E2" s="117"/>
      <c r="F2" s="117"/>
      <c r="G2" s="12"/>
      <c r="H2" s="13"/>
    </row>
    <row r="3" ht="9" customHeight="1"/>
    <row r="4" spans="1:6" ht="15.75" hidden="1" outlineLevel="2">
      <c r="A4" s="15" t="s">
        <v>53</v>
      </c>
      <c r="C4" s="15"/>
      <c r="D4" s="15"/>
      <c r="E4" s="15"/>
      <c r="F4" s="15"/>
    </row>
    <row r="5" spans="1:6" ht="15.75" hidden="1" outlineLevel="2">
      <c r="A5" s="15" t="s">
        <v>15</v>
      </c>
      <c r="C5" s="15"/>
      <c r="D5" s="15">
        <v>1865.12</v>
      </c>
      <c r="E5" s="15" t="s">
        <v>16</v>
      </c>
      <c r="F5" s="15"/>
    </row>
    <row r="6" ht="9" customHeight="1" collapsed="1"/>
    <row r="7" spans="1:6" ht="15.75">
      <c r="A7" s="12" t="s">
        <v>57</v>
      </c>
      <c r="C7" s="12"/>
      <c r="D7" s="16">
        <v>0</v>
      </c>
      <c r="E7" s="12" t="s">
        <v>20</v>
      </c>
      <c r="F7" s="12"/>
    </row>
    <row r="8" spans="1:6" ht="15.75">
      <c r="A8" s="12" t="s">
        <v>58</v>
      </c>
      <c r="C8" s="15"/>
      <c r="D8" s="17">
        <v>0</v>
      </c>
      <c r="E8" s="15" t="s">
        <v>20</v>
      </c>
      <c r="F8" s="15"/>
    </row>
    <row r="9" spans="2:6" ht="15.75">
      <c r="B9" s="15"/>
      <c r="C9" s="15"/>
      <c r="D9" s="15"/>
      <c r="E9" s="15"/>
      <c r="F9" s="18" t="s">
        <v>21</v>
      </c>
    </row>
    <row r="10" spans="1:6" s="14" customFormat="1" ht="28.5" customHeight="1">
      <c r="A10" s="6" t="s">
        <v>22</v>
      </c>
      <c r="B10" s="19" t="s">
        <v>23</v>
      </c>
      <c r="C10" s="20" t="s">
        <v>59</v>
      </c>
      <c r="D10" s="20" t="s">
        <v>0</v>
      </c>
      <c r="E10" s="20" t="s">
        <v>25</v>
      </c>
      <c r="F10" s="20" t="s">
        <v>42</v>
      </c>
    </row>
    <row r="11" spans="1:9" s="23" customFormat="1" ht="30" customHeight="1">
      <c r="A11" s="6">
        <v>1</v>
      </c>
      <c r="B11" s="21" t="s">
        <v>1</v>
      </c>
      <c r="C11" s="8">
        <v>0</v>
      </c>
      <c r="D11" s="8">
        <v>174774.02</v>
      </c>
      <c r="E11" s="8">
        <v>140270.1</v>
      </c>
      <c r="F11" s="8">
        <f aca="true" t="shared" si="0" ref="F11:F16">C11-D11+E11</f>
        <v>-34503.919999999984</v>
      </c>
      <c r="G11" s="7" t="s">
        <v>44</v>
      </c>
      <c r="H11" s="7">
        <v>9.17</v>
      </c>
      <c r="I11" s="36">
        <f>H11*10*I21</f>
        <v>171031.504</v>
      </c>
    </row>
    <row r="12" spans="1:9" s="23" customFormat="1" ht="30" customHeight="1">
      <c r="A12" s="6">
        <v>2</v>
      </c>
      <c r="B12" s="21" t="s">
        <v>2</v>
      </c>
      <c r="C12" s="8">
        <v>0</v>
      </c>
      <c r="D12" s="8">
        <v>33973.54</v>
      </c>
      <c r="E12" s="8">
        <v>27275.95</v>
      </c>
      <c r="F12" s="8">
        <f t="shared" si="0"/>
        <v>-6697.59</v>
      </c>
      <c r="G12" s="15" t="s">
        <v>45</v>
      </c>
      <c r="H12" s="7">
        <v>3.39</v>
      </c>
      <c r="I12" s="35">
        <f>H12*10*I21</f>
        <v>63227.56799999999</v>
      </c>
    </row>
    <row r="13" spans="1:9" s="23" customFormat="1" ht="29.25" customHeight="1">
      <c r="A13" s="6">
        <v>3</v>
      </c>
      <c r="B13" s="21" t="s">
        <v>3</v>
      </c>
      <c r="C13" s="8">
        <v>0</v>
      </c>
      <c r="D13" s="8">
        <v>23125.02</v>
      </c>
      <c r="E13" s="8">
        <v>19030.16</v>
      </c>
      <c r="F13" s="8">
        <f t="shared" si="0"/>
        <v>-4094.8600000000006</v>
      </c>
      <c r="G13" s="15" t="s">
        <v>46</v>
      </c>
      <c r="H13" s="7">
        <f>2.22</f>
        <v>2.22</v>
      </c>
      <c r="I13" s="35">
        <f>H13*10*I21</f>
        <v>41405.664000000004</v>
      </c>
    </row>
    <row r="14" spans="1:9" s="23" customFormat="1" ht="30" customHeight="1">
      <c r="A14" s="6">
        <v>4</v>
      </c>
      <c r="B14" s="21" t="s">
        <v>48</v>
      </c>
      <c r="C14" s="8">
        <v>0</v>
      </c>
      <c r="D14" s="8">
        <v>26075.22</v>
      </c>
      <c r="E14" s="8">
        <v>22064.89</v>
      </c>
      <c r="F14" s="8">
        <f t="shared" si="0"/>
        <v>-4010.3300000000017</v>
      </c>
      <c r="G14" s="7" t="s">
        <v>47</v>
      </c>
      <c r="H14" s="7">
        <v>1.35</v>
      </c>
      <c r="I14" s="36">
        <f>H14*10*J21</f>
        <v>22812.57</v>
      </c>
    </row>
    <row r="15" spans="1:9" s="23" customFormat="1" ht="30" customHeight="1">
      <c r="A15" s="79">
        <v>5</v>
      </c>
      <c r="B15" s="21" t="s">
        <v>4</v>
      </c>
      <c r="C15" s="8">
        <v>0</v>
      </c>
      <c r="D15" s="8">
        <v>5454.6</v>
      </c>
      <c r="E15" s="8">
        <v>5184.86</v>
      </c>
      <c r="F15" s="8">
        <f t="shared" si="0"/>
        <v>-269.7400000000007</v>
      </c>
      <c r="G15" s="7"/>
      <c r="H15" s="7"/>
      <c r="I15" s="36"/>
    </row>
    <row r="16" spans="1:6" s="23" customFormat="1" ht="30" customHeight="1">
      <c r="A16" s="6">
        <v>6</v>
      </c>
      <c r="B16" s="21" t="s">
        <v>64</v>
      </c>
      <c r="C16" s="8">
        <v>0</v>
      </c>
      <c r="D16" s="8">
        <v>49458</v>
      </c>
      <c r="E16" s="8">
        <v>30017.26</v>
      </c>
      <c r="F16" s="8">
        <f t="shared" si="0"/>
        <v>-19440.74</v>
      </c>
    </row>
    <row r="17" spans="1:6" ht="26.25" customHeight="1">
      <c r="A17" s="6"/>
      <c r="B17" s="21" t="s">
        <v>5</v>
      </c>
      <c r="C17" s="8">
        <f>SUM(C11:C16)</f>
        <v>0</v>
      </c>
      <c r="D17" s="8">
        <f>SUM(D11:D16)</f>
        <v>312860.39999999997</v>
      </c>
      <c r="E17" s="8">
        <f>SUM(E11:E16)</f>
        <v>243843.22000000003</v>
      </c>
      <c r="F17" s="8">
        <f>SUM(F11:F16)</f>
        <v>-69017.17999999998</v>
      </c>
    </row>
    <row r="18" ht="11.25" customHeight="1"/>
    <row r="19" spans="1:6" ht="15.75">
      <c r="A19" s="117" t="s">
        <v>26</v>
      </c>
      <c r="B19" s="117"/>
      <c r="C19" s="117"/>
      <c r="D19" s="117"/>
      <c r="E19" s="117"/>
      <c r="F19" s="117"/>
    </row>
    <row r="20" spans="1:10" ht="15.75">
      <c r="A20" s="76"/>
      <c r="B20" s="76"/>
      <c r="C20" s="76"/>
      <c r="D20" s="76"/>
      <c r="E20" s="76"/>
      <c r="F20" s="76"/>
      <c r="I20" s="106" t="s">
        <v>27</v>
      </c>
      <c r="J20" s="106"/>
    </row>
    <row r="21" spans="1:10" ht="33" customHeight="1">
      <c r="A21" s="20" t="s">
        <v>43</v>
      </c>
      <c r="B21" s="107" t="s">
        <v>62</v>
      </c>
      <c r="C21" s="107"/>
      <c r="D21" s="107"/>
      <c r="E21" s="107"/>
      <c r="F21" s="24" t="s">
        <v>14</v>
      </c>
      <c r="G21" s="25"/>
      <c r="I21" s="19">
        <f>D5</f>
        <v>1865.12</v>
      </c>
      <c r="J21" s="19">
        <v>1689.82</v>
      </c>
    </row>
    <row r="22" spans="1:10" ht="18" customHeight="1">
      <c r="A22" s="26">
        <v>1</v>
      </c>
      <c r="B22" s="108" t="s">
        <v>7</v>
      </c>
      <c r="C22" s="108"/>
      <c r="D22" s="108"/>
      <c r="E22" s="108"/>
      <c r="F22" s="3">
        <f>I12</f>
        <v>63227.56799999999</v>
      </c>
      <c r="G22" s="27"/>
      <c r="H22" s="7" t="s">
        <v>28</v>
      </c>
      <c r="I22" s="19" t="s">
        <v>29</v>
      </c>
      <c r="J22" s="19" t="s">
        <v>30</v>
      </c>
    </row>
    <row r="23" spans="1:10" ht="18" customHeight="1">
      <c r="A23" s="28">
        <v>2</v>
      </c>
      <c r="B23" s="112" t="s">
        <v>31</v>
      </c>
      <c r="C23" s="112"/>
      <c r="D23" s="112"/>
      <c r="E23" s="112"/>
      <c r="F23" s="4">
        <f>I13</f>
        <v>41405.664000000004</v>
      </c>
      <c r="G23" s="27"/>
      <c r="I23" s="75">
        <f>7498.27/(3760.1+1865.12)*I21</f>
        <v>2486.155802333065</v>
      </c>
      <c r="J23" s="75">
        <f>5967.69/(1689.82+3760.1)*J21</f>
        <v>1850.3614577461685</v>
      </c>
    </row>
    <row r="24" spans="1:10" ht="18" customHeight="1">
      <c r="A24" s="28">
        <v>3</v>
      </c>
      <c r="B24" s="112" t="s">
        <v>32</v>
      </c>
      <c r="C24" s="112"/>
      <c r="D24" s="112"/>
      <c r="E24" s="112"/>
      <c r="F24" s="4">
        <f>I14</f>
        <v>22812.57</v>
      </c>
      <c r="G24" s="27"/>
      <c r="I24" s="75">
        <f>I23*10</f>
        <v>24861.55802333065</v>
      </c>
      <c r="J24" s="75">
        <f>J23*10</f>
        <v>18503.614577461685</v>
      </c>
    </row>
    <row r="25" spans="1:7" ht="18" customHeight="1">
      <c r="A25" s="28">
        <v>4</v>
      </c>
      <c r="B25" s="112" t="s">
        <v>9</v>
      </c>
      <c r="C25" s="112"/>
      <c r="D25" s="112"/>
      <c r="E25" s="112"/>
      <c r="F25" s="4">
        <f>F26+F27+F29+F28</f>
        <v>7995</v>
      </c>
      <c r="G25" s="77">
        <f>F52</f>
        <v>7995</v>
      </c>
    </row>
    <row r="26" spans="1:7" ht="18" customHeight="1">
      <c r="A26" s="28" t="s">
        <v>10</v>
      </c>
      <c r="B26" s="112" t="s">
        <v>33</v>
      </c>
      <c r="C26" s="112"/>
      <c r="D26" s="112"/>
      <c r="E26" s="112"/>
      <c r="F26" s="5">
        <f>0</f>
        <v>0</v>
      </c>
      <c r="G26" s="27"/>
    </row>
    <row r="27" spans="1:7" ht="16.5" customHeight="1">
      <c r="A27" s="28" t="s">
        <v>10</v>
      </c>
      <c r="B27" s="112" t="s">
        <v>34</v>
      </c>
      <c r="C27" s="112"/>
      <c r="D27" s="112"/>
      <c r="E27" s="112"/>
      <c r="F27" s="5">
        <f>F44+F45+F46+F47+F48+F49</f>
        <v>2615</v>
      </c>
      <c r="G27" s="15"/>
    </row>
    <row r="28" spans="1:7" ht="16.5" customHeight="1">
      <c r="A28" s="28" t="s">
        <v>10</v>
      </c>
      <c r="B28" s="112" t="s">
        <v>35</v>
      </c>
      <c r="C28" s="112"/>
      <c r="D28" s="112"/>
      <c r="E28" s="112"/>
      <c r="F28" s="5">
        <v>0</v>
      </c>
      <c r="G28" s="15"/>
    </row>
    <row r="29" spans="1:7" ht="16.5" customHeight="1">
      <c r="A29" s="28" t="s">
        <v>10</v>
      </c>
      <c r="B29" s="112" t="s">
        <v>65</v>
      </c>
      <c r="C29" s="112"/>
      <c r="D29" s="112"/>
      <c r="E29" s="112"/>
      <c r="F29" s="5">
        <f>F43</f>
        <v>5380</v>
      </c>
      <c r="G29" s="15"/>
    </row>
    <row r="30" spans="1:7" ht="16.5" customHeight="1">
      <c r="A30" s="28">
        <v>5</v>
      </c>
      <c r="B30" s="113" t="s">
        <v>49</v>
      </c>
      <c r="C30" s="113"/>
      <c r="D30" s="113"/>
      <c r="E30" s="113"/>
      <c r="F30" s="5">
        <f>D14</f>
        <v>26075.22</v>
      </c>
      <c r="G30" s="15"/>
    </row>
    <row r="31" spans="1:7" ht="17.25" customHeight="1">
      <c r="A31" s="28">
        <v>6</v>
      </c>
      <c r="B31" s="113" t="s">
        <v>2</v>
      </c>
      <c r="C31" s="113"/>
      <c r="D31" s="113"/>
      <c r="E31" s="113"/>
      <c r="F31" s="5">
        <f>D12</f>
        <v>33973.54</v>
      </c>
      <c r="G31" s="15"/>
    </row>
    <row r="32" spans="1:7" ht="17.25" customHeight="1">
      <c r="A32" s="28">
        <v>7</v>
      </c>
      <c r="B32" s="113" t="s">
        <v>4</v>
      </c>
      <c r="C32" s="113"/>
      <c r="D32" s="113"/>
      <c r="E32" s="113"/>
      <c r="F32" s="5">
        <f>D15</f>
        <v>5454.6</v>
      </c>
      <c r="G32" s="15"/>
    </row>
    <row r="33" spans="1:7" ht="17.25" customHeight="1">
      <c r="A33" s="28">
        <v>8</v>
      </c>
      <c r="B33" s="113" t="s">
        <v>64</v>
      </c>
      <c r="C33" s="113"/>
      <c r="D33" s="113"/>
      <c r="E33" s="113"/>
      <c r="F33" s="5">
        <f>D16</f>
        <v>49458</v>
      </c>
      <c r="G33" s="15"/>
    </row>
    <row r="34" spans="1:7" ht="17.25" customHeight="1">
      <c r="A34" s="28">
        <v>9</v>
      </c>
      <c r="B34" s="140" t="s">
        <v>68</v>
      </c>
      <c r="C34" s="141"/>
      <c r="D34" s="141"/>
      <c r="E34" s="142"/>
      <c r="F34" s="5">
        <v>1023.91</v>
      </c>
      <c r="G34" s="15"/>
    </row>
    <row r="35" spans="1:7" ht="17.25" customHeight="1">
      <c r="A35" s="29"/>
      <c r="B35" s="143" t="s">
        <v>11</v>
      </c>
      <c r="C35" s="143"/>
      <c r="D35" s="143"/>
      <c r="E35" s="143"/>
      <c r="F35" s="30">
        <f>F22+F23+F24+F25+F31+F33+F30+F32+F34</f>
        <v>251426.07200000001</v>
      </c>
      <c r="G35" s="15"/>
    </row>
    <row r="36" spans="1:7" s="31" customFormat="1" ht="21" customHeight="1">
      <c r="A36" s="14"/>
      <c r="B36" s="7"/>
      <c r="C36" s="7"/>
      <c r="D36" s="7"/>
      <c r="E36" s="7"/>
      <c r="F36" s="7"/>
      <c r="G36" s="12"/>
    </row>
    <row r="37" spans="1:6" ht="15.75">
      <c r="A37" s="80" t="s">
        <v>66</v>
      </c>
      <c r="B37" s="80"/>
      <c r="C37" s="80"/>
      <c r="D37" s="80"/>
      <c r="E37" s="80"/>
      <c r="F37" s="5">
        <f>D17-F35+D7</f>
        <v>61434.32799999995</v>
      </c>
    </row>
    <row r="38" spans="1:6" ht="18" customHeight="1">
      <c r="A38" s="120" t="s">
        <v>63</v>
      </c>
      <c r="B38" s="120"/>
      <c r="C38" s="120"/>
      <c r="D38" s="120"/>
      <c r="E38" s="120"/>
      <c r="F38" s="5">
        <f>F17</f>
        <v>-69017.17999999998</v>
      </c>
    </row>
    <row r="39" spans="1:6" ht="20.25" customHeight="1">
      <c r="A39" s="130" t="s">
        <v>67</v>
      </c>
      <c r="B39" s="130"/>
      <c r="C39" s="130"/>
      <c r="D39" s="130"/>
      <c r="E39" s="130"/>
      <c r="F39" s="5">
        <f>F37+F38</f>
        <v>-7582.852000000028</v>
      </c>
    </row>
    <row r="40" ht="18" customHeight="1"/>
    <row r="41" ht="11.25" customHeight="1"/>
    <row r="42" spans="1:6" ht="15.75">
      <c r="A42" s="32" t="s">
        <v>22</v>
      </c>
      <c r="B42" s="32" t="s">
        <v>13</v>
      </c>
      <c r="C42" s="121" t="s">
        <v>36</v>
      </c>
      <c r="D42" s="122"/>
      <c r="E42" s="123"/>
      <c r="F42" s="32" t="s">
        <v>37</v>
      </c>
    </row>
    <row r="43" spans="1:6" ht="32.25" customHeight="1">
      <c r="A43" s="37">
        <v>1</v>
      </c>
      <c r="B43" s="52" t="s">
        <v>60</v>
      </c>
      <c r="C43" s="124" t="s">
        <v>61</v>
      </c>
      <c r="D43" s="125"/>
      <c r="E43" s="126"/>
      <c r="F43" s="53">
        <f>10*538</f>
        <v>5380</v>
      </c>
    </row>
    <row r="44" spans="1:6" s="40" customFormat="1" ht="15.75">
      <c r="A44" s="41">
        <v>2</v>
      </c>
      <c r="B44" s="60">
        <v>42066</v>
      </c>
      <c r="C44" s="134" t="s">
        <v>51</v>
      </c>
      <c r="D44" s="135"/>
      <c r="E44" s="136"/>
      <c r="F44" s="61">
        <v>565</v>
      </c>
    </row>
    <row r="45" spans="1:7" s="43" customFormat="1" ht="15.75">
      <c r="A45" s="44">
        <v>3</v>
      </c>
      <c r="B45" s="62">
        <v>42096</v>
      </c>
      <c r="C45" s="150" t="s">
        <v>50</v>
      </c>
      <c r="D45" s="151"/>
      <c r="E45" s="152"/>
      <c r="F45" s="63">
        <v>640</v>
      </c>
      <c r="G45" s="42"/>
    </row>
    <row r="46" spans="1:6" s="70" customFormat="1" ht="15.75">
      <c r="A46" s="71">
        <v>4</v>
      </c>
      <c r="B46" s="72">
        <v>42248</v>
      </c>
      <c r="C46" s="131" t="s">
        <v>55</v>
      </c>
      <c r="D46" s="132"/>
      <c r="E46" s="133"/>
      <c r="F46" s="73">
        <v>149</v>
      </c>
    </row>
    <row r="47" spans="1:6" s="74" customFormat="1" ht="15.75">
      <c r="A47" s="71">
        <v>5</v>
      </c>
      <c r="B47" s="72">
        <v>42265</v>
      </c>
      <c r="C47" s="131" t="s">
        <v>55</v>
      </c>
      <c r="D47" s="132"/>
      <c r="E47" s="133"/>
      <c r="F47" s="73">
        <v>210</v>
      </c>
    </row>
    <row r="48" spans="1:6" s="78" customFormat="1" ht="15">
      <c r="A48" s="1">
        <v>6</v>
      </c>
      <c r="B48" s="2">
        <v>42324</v>
      </c>
      <c r="C48" s="144" t="s">
        <v>56</v>
      </c>
      <c r="D48" s="145"/>
      <c r="E48" s="146"/>
      <c r="F48" s="66">
        <v>559</v>
      </c>
    </row>
    <row r="49" spans="1:6" s="78" customFormat="1" ht="15">
      <c r="A49" s="1">
        <v>7</v>
      </c>
      <c r="B49" s="2">
        <v>42335</v>
      </c>
      <c r="C49" s="144" t="s">
        <v>51</v>
      </c>
      <c r="D49" s="145"/>
      <c r="E49" s="146"/>
      <c r="F49" s="66">
        <v>492</v>
      </c>
    </row>
    <row r="50" spans="1:6" ht="15.75">
      <c r="A50" s="6"/>
      <c r="B50" s="9"/>
      <c r="C50" s="147"/>
      <c r="D50" s="148"/>
      <c r="E50" s="149"/>
      <c r="F50" s="8"/>
    </row>
    <row r="51" spans="1:6" ht="27" customHeight="1">
      <c r="A51" s="6"/>
      <c r="B51" s="9"/>
      <c r="C51" s="137"/>
      <c r="D51" s="138"/>
      <c r="E51" s="139"/>
      <c r="F51" s="10"/>
    </row>
    <row r="52" spans="1:6" ht="15.75">
      <c r="A52" s="118" t="s">
        <v>38</v>
      </c>
      <c r="B52" s="118"/>
      <c r="C52" s="118"/>
      <c r="D52" s="118"/>
      <c r="E52" s="118"/>
      <c r="F52" s="33">
        <f>SUM(F43:F51)</f>
        <v>7995</v>
      </c>
    </row>
    <row r="53" spans="1:6" s="31" customFormat="1" ht="15.75">
      <c r="A53" s="14"/>
      <c r="B53" s="7"/>
      <c r="C53" s="7"/>
      <c r="D53" s="7"/>
      <c r="E53" s="7"/>
      <c r="F53" s="7"/>
    </row>
  </sheetData>
  <sheetProtection selectLockedCells="1" selectUnlockedCells="1"/>
  <mergeCells count="32">
    <mergeCell ref="A1:F1"/>
    <mergeCell ref="A2:F2"/>
    <mergeCell ref="A19:F19"/>
    <mergeCell ref="B21:E21"/>
    <mergeCell ref="B22:E22"/>
    <mergeCell ref="B33:E33"/>
    <mergeCell ref="B23:E23"/>
    <mergeCell ref="B24:E24"/>
    <mergeCell ref="B25:E25"/>
    <mergeCell ref="B27:E27"/>
    <mergeCell ref="A52:E52"/>
    <mergeCell ref="I20:J20"/>
    <mergeCell ref="C48:E48"/>
    <mergeCell ref="C49:E49"/>
    <mergeCell ref="C50:E50"/>
    <mergeCell ref="C46:E46"/>
    <mergeCell ref="C45:E45"/>
    <mergeCell ref="A39:E39"/>
    <mergeCell ref="C42:E42"/>
    <mergeCell ref="A38:E38"/>
    <mergeCell ref="B29:E29"/>
    <mergeCell ref="B32:E32"/>
    <mergeCell ref="B28:E28"/>
    <mergeCell ref="B30:E30"/>
    <mergeCell ref="B26:E26"/>
    <mergeCell ref="B35:E35"/>
    <mergeCell ref="C43:E43"/>
    <mergeCell ref="C47:E47"/>
    <mergeCell ref="C44:E44"/>
    <mergeCell ref="B31:E31"/>
    <mergeCell ref="C51:E51"/>
    <mergeCell ref="B34:E3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3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.421875" style="14" customWidth="1"/>
    <col min="2" max="2" width="17.00390625" style="7" customWidth="1"/>
    <col min="3" max="3" width="15.57421875" style="7" customWidth="1"/>
    <col min="4" max="4" width="13.57421875" style="7" customWidth="1"/>
    <col min="5" max="5" width="14.00390625" style="7" customWidth="1"/>
    <col min="6" max="6" width="18.140625" style="7" customWidth="1"/>
    <col min="7" max="7" width="10.140625" style="7" customWidth="1"/>
    <col min="8" max="8" width="9.57421875" style="7" bestFit="1" customWidth="1"/>
    <col min="9" max="9" width="11.421875" style="7" customWidth="1"/>
    <col min="10" max="10" width="11.00390625" style="7" customWidth="1"/>
    <col min="11" max="16384" width="9.140625" style="7" customWidth="1"/>
  </cols>
  <sheetData>
    <row r="1" spans="1:7" ht="15.75">
      <c r="A1" s="117" t="s">
        <v>39</v>
      </c>
      <c r="B1" s="117"/>
      <c r="C1" s="117"/>
      <c r="D1" s="117"/>
      <c r="E1" s="117"/>
      <c r="F1" s="117"/>
      <c r="G1" s="11"/>
    </row>
    <row r="2" spans="1:8" ht="15.75">
      <c r="A2" s="117" t="s">
        <v>52</v>
      </c>
      <c r="B2" s="117"/>
      <c r="C2" s="117"/>
      <c r="D2" s="117"/>
      <c r="E2" s="117"/>
      <c r="F2" s="117"/>
      <c r="G2" s="12"/>
      <c r="H2" s="13"/>
    </row>
    <row r="3" spans="7:9" ht="9" customHeight="1">
      <c r="G3" s="7" t="s">
        <v>44</v>
      </c>
      <c r="H3" s="7">
        <v>9.17</v>
      </c>
      <c r="I3" s="36">
        <f>H3*12*H20</f>
        <v>205237.80479999998</v>
      </c>
    </row>
    <row r="4" spans="1:9" ht="15.75">
      <c r="A4" s="15"/>
      <c r="C4" s="15"/>
      <c r="D4" s="15"/>
      <c r="E4" s="15"/>
      <c r="F4" s="15"/>
      <c r="G4" s="15" t="s">
        <v>45</v>
      </c>
      <c r="H4" s="7">
        <v>3.39</v>
      </c>
      <c r="I4" s="35">
        <f>H4*12*H20</f>
        <v>75873.08159999999</v>
      </c>
    </row>
    <row r="5" spans="1:9" ht="15.75">
      <c r="A5" s="15" t="s">
        <v>15</v>
      </c>
      <c r="C5" s="15"/>
      <c r="D5" s="15">
        <v>1865.12</v>
      </c>
      <c r="E5" s="15" t="s">
        <v>16</v>
      </c>
      <c r="F5" s="15"/>
      <c r="G5" s="15" t="s">
        <v>46</v>
      </c>
      <c r="H5" s="7">
        <f>2.22</f>
        <v>2.22</v>
      </c>
      <c r="I5" s="35">
        <f>H5*12*H20</f>
        <v>49686.7968</v>
      </c>
    </row>
    <row r="6" spans="7:9" ht="9" customHeight="1">
      <c r="G6" s="7" t="s">
        <v>47</v>
      </c>
      <c r="H6" s="7">
        <v>1.35</v>
      </c>
      <c r="I6" s="36">
        <f>H6*12*J20</f>
        <v>27375.084000000003</v>
      </c>
    </row>
    <row r="7" spans="1:6" ht="15.75">
      <c r="A7" s="12" t="s">
        <v>17</v>
      </c>
      <c r="C7" s="12"/>
      <c r="D7" s="16" t="e">
        <f>#REF!</f>
        <v>#REF!</v>
      </c>
      <c r="E7" s="12" t="s">
        <v>18</v>
      </c>
      <c r="F7" s="12"/>
    </row>
    <row r="8" spans="1:6" ht="15.75">
      <c r="A8" s="12" t="s">
        <v>19</v>
      </c>
      <c r="C8" s="15"/>
      <c r="D8" s="17">
        <f>C16</f>
        <v>-137470.06999999998</v>
      </c>
      <c r="E8" s="15" t="s">
        <v>20</v>
      </c>
      <c r="F8" s="15"/>
    </row>
    <row r="9" spans="2:6" ht="15.75">
      <c r="B9" s="15"/>
      <c r="C9" s="15"/>
      <c r="D9" s="15"/>
      <c r="E9" s="15"/>
      <c r="F9" s="18" t="s">
        <v>21</v>
      </c>
    </row>
    <row r="10" spans="1:6" s="14" customFormat="1" ht="28.5" customHeight="1">
      <c r="A10" s="6" t="s">
        <v>22</v>
      </c>
      <c r="B10" s="19" t="s">
        <v>23</v>
      </c>
      <c r="C10" s="20" t="s">
        <v>24</v>
      </c>
      <c r="D10" s="20" t="s">
        <v>0</v>
      </c>
      <c r="E10" s="20" t="s">
        <v>25</v>
      </c>
      <c r="F10" s="20" t="s">
        <v>42</v>
      </c>
    </row>
    <row r="11" spans="1:8" s="23" customFormat="1" ht="30" customHeight="1">
      <c r="A11" s="6">
        <v>1</v>
      </c>
      <c r="B11" s="21" t="s">
        <v>1</v>
      </c>
      <c r="C11" s="8">
        <v>-94156.01</v>
      </c>
      <c r="D11" s="8"/>
      <c r="E11" s="8"/>
      <c r="F11" s="8">
        <f>C11-D11+E11</f>
        <v>-94156.01</v>
      </c>
      <c r="G11" s="22"/>
      <c r="H11" s="22"/>
    </row>
    <row r="12" spans="1:8" s="23" customFormat="1" ht="30" customHeight="1">
      <c r="A12" s="6">
        <v>2</v>
      </c>
      <c r="B12" s="21" t="s">
        <v>2</v>
      </c>
      <c r="C12" s="8">
        <v>-17179.78</v>
      </c>
      <c r="D12" s="8"/>
      <c r="E12" s="8"/>
      <c r="F12" s="8">
        <f>C12-D12+E12</f>
        <v>-17179.78</v>
      </c>
      <c r="G12" s="22"/>
      <c r="H12" s="22"/>
    </row>
    <row r="13" spans="1:8" s="23" customFormat="1" ht="29.25" customHeight="1">
      <c r="A13" s="6">
        <v>3</v>
      </c>
      <c r="B13" s="21" t="s">
        <v>3</v>
      </c>
      <c r="C13" s="8">
        <v>-13006.59</v>
      </c>
      <c r="D13" s="8"/>
      <c r="E13" s="8"/>
      <c r="F13" s="8">
        <f>C13-D13+E13</f>
        <v>-13006.59</v>
      </c>
      <c r="G13" s="22"/>
      <c r="H13" s="22"/>
    </row>
    <row r="14" spans="1:8" s="23" customFormat="1" ht="30" customHeight="1">
      <c r="A14" s="6">
        <v>4</v>
      </c>
      <c r="B14" s="21" t="s">
        <v>4</v>
      </c>
      <c r="C14" s="8">
        <v>-8197.17</v>
      </c>
      <c r="D14" s="8"/>
      <c r="E14" s="8"/>
      <c r="F14" s="8">
        <f>C14-D14+E14</f>
        <v>-8197.17</v>
      </c>
      <c r="G14" s="22"/>
      <c r="H14" s="22"/>
    </row>
    <row r="15" spans="1:8" s="23" customFormat="1" ht="30" customHeight="1">
      <c r="A15" s="6">
        <v>5</v>
      </c>
      <c r="B15" s="21" t="s">
        <v>48</v>
      </c>
      <c r="C15" s="8">
        <v>-4930.52</v>
      </c>
      <c r="D15" s="8"/>
      <c r="E15" s="8"/>
      <c r="F15" s="8">
        <f>C15-D15+E15</f>
        <v>-4930.52</v>
      </c>
      <c r="G15" s="22"/>
      <c r="H15" s="22"/>
    </row>
    <row r="16" spans="1:6" ht="26.25" customHeight="1">
      <c r="A16" s="6"/>
      <c r="B16" s="21" t="s">
        <v>5</v>
      </c>
      <c r="C16" s="8">
        <f>SUM(C11:C15)</f>
        <v>-137470.06999999998</v>
      </c>
      <c r="D16" s="8">
        <f>SUM(D11:D15)</f>
        <v>0</v>
      </c>
      <c r="E16" s="8">
        <f>SUM(E11:E15)</f>
        <v>0</v>
      </c>
      <c r="F16" s="8">
        <f>SUM(F11:F15)</f>
        <v>-137470.06999999998</v>
      </c>
    </row>
    <row r="17" ht="11.25" customHeight="1"/>
    <row r="18" spans="1:6" ht="15.75">
      <c r="A18" s="117" t="s">
        <v>26</v>
      </c>
      <c r="B18" s="117"/>
      <c r="C18" s="117"/>
      <c r="D18" s="117"/>
      <c r="E18" s="117"/>
      <c r="F18" s="117"/>
    </row>
    <row r="19" spans="1:8" ht="15.75">
      <c r="A19" s="34"/>
      <c r="B19" s="11"/>
      <c r="C19" s="11"/>
      <c r="D19" s="11"/>
      <c r="E19" s="11"/>
      <c r="F19" s="11"/>
      <c r="H19" s="7" t="s">
        <v>27</v>
      </c>
    </row>
    <row r="20" spans="1:10" ht="33" customHeight="1">
      <c r="A20" s="20" t="s">
        <v>43</v>
      </c>
      <c r="B20" s="107" t="s">
        <v>6</v>
      </c>
      <c r="C20" s="107"/>
      <c r="D20" s="107"/>
      <c r="E20" s="107"/>
      <c r="F20" s="24" t="s">
        <v>14</v>
      </c>
      <c r="G20" s="25"/>
      <c r="H20" s="7">
        <f>D5</f>
        <v>1865.12</v>
      </c>
      <c r="J20" s="7">
        <v>1689.82</v>
      </c>
    </row>
    <row r="21" spans="1:10" ht="18" customHeight="1">
      <c r="A21" s="26">
        <v>1</v>
      </c>
      <c r="B21" s="108" t="s">
        <v>7</v>
      </c>
      <c r="C21" s="108"/>
      <c r="D21" s="108"/>
      <c r="E21" s="108"/>
      <c r="F21" s="3">
        <f>I4</f>
        <v>75873.08159999999</v>
      </c>
      <c r="G21" s="27"/>
      <c r="H21" s="7" t="s">
        <v>28</v>
      </c>
      <c r="I21" s="19" t="s">
        <v>29</v>
      </c>
      <c r="J21" s="19" t="s">
        <v>30</v>
      </c>
    </row>
    <row r="22" spans="1:10" ht="18" customHeight="1">
      <c r="A22" s="28">
        <v>2</v>
      </c>
      <c r="B22" s="112" t="s">
        <v>8</v>
      </c>
      <c r="C22" s="112"/>
      <c r="D22" s="112"/>
      <c r="E22" s="112"/>
      <c r="F22" s="4">
        <f>0.19*6*H20+0.21*6*H20</f>
        <v>4476.2880000000005</v>
      </c>
      <c r="G22" s="27"/>
      <c r="I22" s="75">
        <f>7498.27/(3760.1+1865.12)*H20</f>
        <v>2486.155802333065</v>
      </c>
      <c r="J22" s="75">
        <f>5967.69/(1689.82+3760.1)*J20</f>
        <v>1850.3614577461685</v>
      </c>
    </row>
    <row r="23" spans="1:10" ht="18" customHeight="1">
      <c r="A23" s="28">
        <v>3</v>
      </c>
      <c r="B23" s="112" t="s">
        <v>31</v>
      </c>
      <c r="C23" s="112"/>
      <c r="D23" s="112"/>
      <c r="E23" s="112"/>
      <c r="F23" s="4">
        <f>I5</f>
        <v>49686.7968</v>
      </c>
      <c r="G23" s="27"/>
      <c r="I23" s="75">
        <f>I22*12</f>
        <v>29833.869627996777</v>
      </c>
      <c r="J23" s="75">
        <f>J22*12</f>
        <v>22204.337492954022</v>
      </c>
    </row>
    <row r="24" spans="1:7" ht="18" customHeight="1">
      <c r="A24" s="28">
        <v>4</v>
      </c>
      <c r="B24" s="112" t="s">
        <v>32</v>
      </c>
      <c r="C24" s="112"/>
      <c r="D24" s="112"/>
      <c r="E24" s="112"/>
      <c r="F24" s="4">
        <f>I6</f>
        <v>27375.084000000003</v>
      </c>
      <c r="G24" s="27"/>
    </row>
    <row r="25" spans="1:7" ht="18" customHeight="1">
      <c r="A25" s="28">
        <v>5</v>
      </c>
      <c r="B25" s="112" t="s">
        <v>9</v>
      </c>
      <c r="C25" s="112"/>
      <c r="D25" s="112"/>
      <c r="E25" s="112"/>
      <c r="F25" s="4">
        <f>F26+F27+F28</f>
        <v>16380</v>
      </c>
      <c r="G25" s="27"/>
    </row>
    <row r="26" spans="1:7" ht="16.5" customHeight="1">
      <c r="A26" s="28" t="s">
        <v>10</v>
      </c>
      <c r="B26" s="112" t="s">
        <v>33</v>
      </c>
      <c r="C26" s="112"/>
      <c r="D26" s="112"/>
      <c r="E26" s="112"/>
      <c r="F26" s="5">
        <v>0</v>
      </c>
      <c r="G26" s="15"/>
    </row>
    <row r="27" spans="1:7" ht="16.5" customHeight="1">
      <c r="A27" s="28" t="s">
        <v>10</v>
      </c>
      <c r="B27" s="112" t="s">
        <v>34</v>
      </c>
      <c r="C27" s="112"/>
      <c r="D27" s="112"/>
      <c r="E27" s="112"/>
      <c r="F27" s="5">
        <f>F40+F41+F42+F43+F44+F45+F46+F47+F48+F49+F50+F51+F52+F55+F56+F58+F60</f>
        <v>16380</v>
      </c>
      <c r="G27" s="15"/>
    </row>
    <row r="28" spans="1:7" ht="16.5" customHeight="1">
      <c r="A28" s="28" t="s">
        <v>10</v>
      </c>
      <c r="B28" s="112" t="s">
        <v>35</v>
      </c>
      <c r="C28" s="112"/>
      <c r="D28" s="112"/>
      <c r="E28" s="112"/>
      <c r="F28" s="5">
        <v>0</v>
      </c>
      <c r="G28" s="15"/>
    </row>
    <row r="29" spans="1:7" ht="17.25" customHeight="1">
      <c r="A29" s="28">
        <v>6</v>
      </c>
      <c r="B29" s="113" t="s">
        <v>49</v>
      </c>
      <c r="C29" s="113"/>
      <c r="D29" s="113"/>
      <c r="E29" s="113"/>
      <c r="F29" s="5">
        <f>D15</f>
        <v>0</v>
      </c>
      <c r="G29" s="15"/>
    </row>
    <row r="30" spans="1:7" ht="17.25" customHeight="1">
      <c r="A30" s="28">
        <v>7</v>
      </c>
      <c r="B30" s="113" t="s">
        <v>2</v>
      </c>
      <c r="C30" s="113"/>
      <c r="D30" s="113"/>
      <c r="E30" s="113"/>
      <c r="F30" s="5">
        <f>D11</f>
        <v>0</v>
      </c>
      <c r="G30" s="15"/>
    </row>
    <row r="31" spans="1:7" ht="17.25" customHeight="1">
      <c r="A31" s="28">
        <v>8</v>
      </c>
      <c r="B31" s="113" t="s">
        <v>4</v>
      </c>
      <c r="C31" s="113"/>
      <c r="D31" s="113"/>
      <c r="E31" s="113"/>
      <c r="F31" s="5">
        <f>D14</f>
        <v>0</v>
      </c>
      <c r="G31" s="15"/>
    </row>
    <row r="32" spans="1:7" s="31" customFormat="1" ht="21" customHeight="1">
      <c r="A32" s="29"/>
      <c r="B32" s="143" t="s">
        <v>11</v>
      </c>
      <c r="C32" s="143"/>
      <c r="D32" s="143"/>
      <c r="E32" s="143"/>
      <c r="F32" s="30">
        <f>F21+F22+F23+F24+F25+F30+F31</f>
        <v>173791.2504</v>
      </c>
      <c r="G32" s="12"/>
    </row>
    <row r="34" spans="1:6" ht="18" customHeight="1">
      <c r="A34" s="120" t="s">
        <v>40</v>
      </c>
      <c r="B34" s="120"/>
      <c r="C34" s="120"/>
      <c r="D34" s="120"/>
      <c r="E34" s="120"/>
      <c r="F34" s="5" t="e">
        <f>D16-F32+D7</f>
        <v>#REF!</v>
      </c>
    </row>
    <row r="35" spans="1:6" ht="20.25" customHeight="1">
      <c r="A35" s="120" t="s">
        <v>41</v>
      </c>
      <c r="B35" s="120"/>
      <c r="C35" s="120"/>
      <c r="D35" s="120"/>
      <c r="E35" s="120"/>
      <c r="F35" s="5">
        <f>F16</f>
        <v>-137470.06999999998</v>
      </c>
    </row>
    <row r="36" spans="1:6" ht="18" customHeight="1">
      <c r="A36" s="130" t="s">
        <v>12</v>
      </c>
      <c r="B36" s="130"/>
      <c r="C36" s="130"/>
      <c r="D36" s="130"/>
      <c r="E36" s="130"/>
      <c r="F36" s="5">
        <f>F11</f>
        <v>-94156.01</v>
      </c>
    </row>
    <row r="37" ht="11.25" customHeight="1"/>
    <row r="39" spans="1:6" ht="15.75">
      <c r="A39" s="32" t="s">
        <v>22</v>
      </c>
      <c r="B39" s="32" t="s">
        <v>13</v>
      </c>
      <c r="C39" s="121" t="s">
        <v>36</v>
      </c>
      <c r="D39" s="122"/>
      <c r="E39" s="123"/>
      <c r="F39" s="32" t="s">
        <v>37</v>
      </c>
    </row>
    <row r="40" spans="1:6" s="38" customFormat="1" ht="15.75">
      <c r="A40" s="37"/>
      <c r="B40" s="52">
        <v>42035</v>
      </c>
      <c r="C40" s="124" t="s">
        <v>54</v>
      </c>
      <c r="D40" s="125"/>
      <c r="E40" s="126"/>
      <c r="F40" s="53">
        <v>1074</v>
      </c>
    </row>
    <row r="41" spans="1:6" s="40" customFormat="1" ht="15.75">
      <c r="A41" s="39"/>
      <c r="B41" s="54">
        <v>42054</v>
      </c>
      <c r="C41" s="156" t="s">
        <v>50</v>
      </c>
      <c r="D41" s="157"/>
      <c r="E41" s="158"/>
      <c r="F41" s="55">
        <v>811</v>
      </c>
    </row>
    <row r="42" spans="1:6" s="40" customFormat="1" ht="15.75">
      <c r="A42" s="39"/>
      <c r="B42" s="54">
        <v>42052</v>
      </c>
      <c r="C42" s="156" t="s">
        <v>50</v>
      </c>
      <c r="D42" s="157"/>
      <c r="E42" s="158"/>
      <c r="F42" s="55">
        <v>984</v>
      </c>
    </row>
    <row r="43" spans="1:6" s="40" customFormat="1" ht="15.75">
      <c r="A43" s="39"/>
      <c r="B43" s="54">
        <v>42046</v>
      </c>
      <c r="C43" s="156" t="s">
        <v>50</v>
      </c>
      <c r="D43" s="157"/>
      <c r="E43" s="158"/>
      <c r="F43" s="55">
        <v>492</v>
      </c>
    </row>
    <row r="44" spans="1:6" s="40" customFormat="1" ht="15.75">
      <c r="A44" s="39"/>
      <c r="B44" s="54">
        <v>42063</v>
      </c>
      <c r="C44" s="156" t="s">
        <v>54</v>
      </c>
      <c r="D44" s="157"/>
      <c r="E44" s="158"/>
      <c r="F44" s="55">
        <v>1074</v>
      </c>
    </row>
    <row r="45" spans="1:7" s="43" customFormat="1" ht="15.75">
      <c r="A45" s="41"/>
      <c r="B45" s="60">
        <v>42066</v>
      </c>
      <c r="C45" s="134" t="s">
        <v>51</v>
      </c>
      <c r="D45" s="135"/>
      <c r="E45" s="136"/>
      <c r="F45" s="61">
        <v>565</v>
      </c>
      <c r="G45" s="42"/>
    </row>
    <row r="46" spans="1:7" s="43" customFormat="1" ht="15.75">
      <c r="A46" s="41"/>
      <c r="B46" s="60">
        <v>42091</v>
      </c>
      <c r="C46" s="134" t="s">
        <v>54</v>
      </c>
      <c r="D46" s="135"/>
      <c r="E46" s="136"/>
      <c r="F46" s="61">
        <v>1074</v>
      </c>
      <c r="G46" s="42"/>
    </row>
    <row r="47" spans="1:6" s="45" customFormat="1" ht="15.75">
      <c r="A47" s="44"/>
      <c r="B47" s="62">
        <v>42096</v>
      </c>
      <c r="C47" s="150" t="s">
        <v>50</v>
      </c>
      <c r="D47" s="151"/>
      <c r="E47" s="152"/>
      <c r="F47" s="63">
        <v>640</v>
      </c>
    </row>
    <row r="48" spans="1:6" s="45" customFormat="1" ht="15.75">
      <c r="A48" s="44"/>
      <c r="B48" s="62">
        <v>42122</v>
      </c>
      <c r="C48" s="150" t="s">
        <v>54</v>
      </c>
      <c r="D48" s="151"/>
      <c r="E48" s="152"/>
      <c r="F48" s="63">
        <v>1074</v>
      </c>
    </row>
    <row r="49" spans="1:6" s="49" customFormat="1" ht="15.75">
      <c r="A49" s="48"/>
      <c r="B49" s="56">
        <v>42152</v>
      </c>
      <c r="C49" s="165" t="s">
        <v>54</v>
      </c>
      <c r="D49" s="166"/>
      <c r="E49" s="167"/>
      <c r="F49" s="57">
        <v>1074</v>
      </c>
    </row>
    <row r="50" spans="1:6" s="47" customFormat="1" ht="15.75">
      <c r="A50" s="46"/>
      <c r="B50" s="58">
        <v>42183</v>
      </c>
      <c r="C50" s="153" t="s">
        <v>54</v>
      </c>
      <c r="D50" s="154"/>
      <c r="E50" s="155"/>
      <c r="F50" s="64">
        <v>1074</v>
      </c>
    </row>
    <row r="51" spans="1:6" s="51" customFormat="1" ht="15.75">
      <c r="A51" s="50"/>
      <c r="B51" s="59">
        <v>42213</v>
      </c>
      <c r="C51" s="162" t="s">
        <v>54</v>
      </c>
      <c r="D51" s="163"/>
      <c r="E51" s="164"/>
      <c r="F51" s="65">
        <v>1074</v>
      </c>
    </row>
    <row r="52" spans="1:6" s="70" customFormat="1" ht="15.75">
      <c r="A52" s="67">
        <v>22</v>
      </c>
      <c r="B52" s="68">
        <v>42241</v>
      </c>
      <c r="C52" s="159" t="s">
        <v>54</v>
      </c>
      <c r="D52" s="160"/>
      <c r="E52" s="161"/>
      <c r="F52" s="69">
        <v>1074</v>
      </c>
    </row>
    <row r="53" spans="1:6" s="74" customFormat="1" ht="15.75">
      <c r="A53" s="71">
        <v>23</v>
      </c>
      <c r="B53" s="72">
        <v>42248</v>
      </c>
      <c r="C53" s="131" t="s">
        <v>55</v>
      </c>
      <c r="D53" s="132"/>
      <c r="E53" s="133"/>
      <c r="F53" s="73">
        <v>149</v>
      </c>
    </row>
    <row r="54" spans="1:6" s="74" customFormat="1" ht="15.75">
      <c r="A54" s="71">
        <v>23</v>
      </c>
      <c r="B54" s="72">
        <v>42265</v>
      </c>
      <c r="C54" s="131" t="s">
        <v>55</v>
      </c>
      <c r="D54" s="132"/>
      <c r="E54" s="133"/>
      <c r="F54" s="73">
        <v>210</v>
      </c>
    </row>
    <row r="55" spans="1:6" s="74" customFormat="1" ht="15.75">
      <c r="A55" s="71">
        <v>23</v>
      </c>
      <c r="B55" s="72">
        <v>42272</v>
      </c>
      <c r="C55" s="131" t="s">
        <v>54</v>
      </c>
      <c r="D55" s="132"/>
      <c r="E55" s="133"/>
      <c r="F55" s="73">
        <v>1074</v>
      </c>
    </row>
    <row r="56" spans="1:6" ht="15.75">
      <c r="A56" s="1">
        <v>24</v>
      </c>
      <c r="B56" s="2">
        <v>42302</v>
      </c>
      <c r="C56" s="144" t="s">
        <v>54</v>
      </c>
      <c r="D56" s="145"/>
      <c r="E56" s="146"/>
      <c r="F56" s="66">
        <v>1074</v>
      </c>
    </row>
    <row r="57" spans="1:6" ht="15.75">
      <c r="A57" s="6"/>
      <c r="B57" s="9">
        <v>42324</v>
      </c>
      <c r="C57" s="137" t="s">
        <v>56</v>
      </c>
      <c r="D57" s="138"/>
      <c r="E57" s="139"/>
      <c r="F57" s="10">
        <v>559</v>
      </c>
    </row>
    <row r="58" spans="1:6" ht="15.75">
      <c r="A58" s="1"/>
      <c r="B58" s="2">
        <v>42333</v>
      </c>
      <c r="C58" s="144" t="s">
        <v>54</v>
      </c>
      <c r="D58" s="145"/>
      <c r="E58" s="146"/>
      <c r="F58" s="66">
        <v>1074</v>
      </c>
    </row>
    <row r="59" spans="1:6" ht="15.75">
      <c r="A59" s="6"/>
      <c r="B59" s="9">
        <v>42335</v>
      </c>
      <c r="C59" s="137" t="s">
        <v>51</v>
      </c>
      <c r="D59" s="138"/>
      <c r="E59" s="139"/>
      <c r="F59" s="10">
        <v>492</v>
      </c>
    </row>
    <row r="60" spans="1:6" ht="15.75">
      <c r="A60" s="1"/>
      <c r="B60" s="2">
        <v>42363</v>
      </c>
      <c r="C60" s="144" t="s">
        <v>54</v>
      </c>
      <c r="D60" s="145"/>
      <c r="E60" s="146"/>
      <c r="F60" s="66">
        <v>1074</v>
      </c>
    </row>
    <row r="61" spans="1:6" ht="27" customHeight="1">
      <c r="A61" s="6"/>
      <c r="B61" s="9"/>
      <c r="C61" s="147"/>
      <c r="D61" s="148"/>
      <c r="E61" s="149"/>
      <c r="F61" s="8"/>
    </row>
    <row r="62" spans="1:6" ht="15.75">
      <c r="A62" s="6"/>
      <c r="B62" s="9"/>
      <c r="C62" s="137"/>
      <c r="D62" s="138"/>
      <c r="E62" s="139"/>
      <c r="F62" s="10"/>
    </row>
    <row r="63" spans="1:6" s="31" customFormat="1" ht="15.75">
      <c r="A63" s="118" t="s">
        <v>38</v>
      </c>
      <c r="B63" s="118"/>
      <c r="C63" s="118"/>
      <c r="D63" s="118"/>
      <c r="E63" s="118"/>
      <c r="F63" s="33">
        <f>SUM(F40:F62)</f>
        <v>17790</v>
      </c>
    </row>
  </sheetData>
  <sheetProtection selectLockedCells="1" selectUnlockedCells="1"/>
  <mergeCells count="44">
    <mergeCell ref="C53:E53"/>
    <mergeCell ref="C51:E51"/>
    <mergeCell ref="C43:E43"/>
    <mergeCell ref="C44:E44"/>
    <mergeCell ref="C46:E46"/>
    <mergeCell ref="C47:E47"/>
    <mergeCell ref="C48:E48"/>
    <mergeCell ref="C45:E45"/>
    <mergeCell ref="C49:E49"/>
    <mergeCell ref="A63:E63"/>
    <mergeCell ref="C52:E52"/>
    <mergeCell ref="C56:E56"/>
    <mergeCell ref="C58:E58"/>
    <mergeCell ref="C60:E60"/>
    <mergeCell ref="C55:E55"/>
    <mergeCell ref="C62:E62"/>
    <mergeCell ref="C61:E61"/>
    <mergeCell ref="C54:E54"/>
    <mergeCell ref="C57:E57"/>
    <mergeCell ref="B31:E31"/>
    <mergeCell ref="C50:E50"/>
    <mergeCell ref="A35:E35"/>
    <mergeCell ref="A36:E36"/>
    <mergeCell ref="C39:E39"/>
    <mergeCell ref="C40:E40"/>
    <mergeCell ref="C42:E42"/>
    <mergeCell ref="C41:E41"/>
    <mergeCell ref="B32:E32"/>
    <mergeCell ref="B25:E25"/>
    <mergeCell ref="B26:E26"/>
    <mergeCell ref="B27:E27"/>
    <mergeCell ref="B28:E28"/>
    <mergeCell ref="B30:E30"/>
    <mergeCell ref="B29:E29"/>
    <mergeCell ref="C59:E59"/>
    <mergeCell ref="A1:F1"/>
    <mergeCell ref="A2:F2"/>
    <mergeCell ref="A18:F18"/>
    <mergeCell ref="B20:E20"/>
    <mergeCell ref="B21:E21"/>
    <mergeCell ref="B22:E22"/>
    <mergeCell ref="A34:E34"/>
    <mergeCell ref="B23:E23"/>
    <mergeCell ref="B24:E2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2017-05-23T10:48:49Z</cp:lastPrinted>
  <dcterms:created xsi:type="dcterms:W3CDTF">2015-10-12T10:40:12Z</dcterms:created>
  <dcterms:modified xsi:type="dcterms:W3CDTF">2018-03-15T13:00:27Z</dcterms:modified>
  <cp:category/>
  <cp:version/>
  <cp:contentType/>
  <cp:contentStatus/>
</cp:coreProperties>
</file>