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с марта)" sheetId="3" r:id="rId3"/>
    <sheet name="2015" sheetId="4" r:id="rId4"/>
  </sheets>
  <definedNames>
    <definedName name="_xlnm.Print_Area" localSheetId="3">'2015'!$A$1:$F$80</definedName>
    <definedName name="_xlnm.Print_Area" localSheetId="2">'2015 (с марта)'!$A$1:$F$62</definedName>
    <definedName name="_xlnm.Print_Area" localSheetId="1">'2016'!$A$1:$F$55</definedName>
  </definedNames>
  <calcPr fullCalcOnLoad="1" refMode="R1C1"/>
</workbook>
</file>

<file path=xl/sharedStrings.xml><?xml version="1.0" encoding="utf-8"?>
<sst xmlns="http://schemas.openxmlformats.org/spreadsheetml/2006/main" count="373" uniqueCount="129">
  <si>
    <t>Начислено</t>
  </si>
  <si>
    <t>Содержание жилья</t>
  </si>
  <si>
    <t>Вывоз ТБО</t>
  </si>
  <si>
    <t>Уборка подъездов</t>
  </si>
  <si>
    <t>Электроэнергия МОП</t>
  </si>
  <si>
    <t>Итого</t>
  </si>
  <si>
    <t>Вид</t>
  </si>
  <si>
    <t>Услуги управления</t>
  </si>
  <si>
    <t>Обслуживание ВДГО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</si>
  <si>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</si>
  <si>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</si>
  <si>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</si>
  <si>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</si>
  <si>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</si>
  <si>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</si>
  <si>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</si>
  <si>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</si>
  <si>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</si>
  <si>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</si>
  <si>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</si>
  <si>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</si>
  <si>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</si>
  <si>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</si>
  <si>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</si>
  <si>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</si>
  <si>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</si>
  <si>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</si>
  <si>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</si>
  <si>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</si>
  <si>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</si>
  <si>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Санитарное содержание подъездов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</si>
  <si>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</si>
  <si>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</si>
  <si>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</si>
  <si>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</si>
  <si>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</si>
  <si>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</si>
  <si>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</si>
  <si>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Сальдо на 31.12.2015 г</t>
  </si>
  <si>
    <t>Задолженность населения на 31.12.2015 г., в т.ч.</t>
  </si>
  <si>
    <t>Задолженность на 31.12.2015г</t>
  </si>
  <si>
    <t>снятие показаний общедомового прибора учета э/э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</si>
  <si>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</si>
  <si>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</si>
  <si>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</si>
  <si>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двор</t>
  </si>
  <si>
    <t>ЛК</t>
  </si>
  <si>
    <t>Содержание лифта</t>
  </si>
  <si>
    <t>Обслуживание лифта</t>
  </si>
  <si>
    <t>Ул. Литовский вал, д.47 А</t>
  </si>
  <si>
    <t>В управлении ООО "УК САМБИЯ - ЮГ" - с 01.09.2006 года</t>
  </si>
  <si>
    <t>снятие показания приборов</t>
  </si>
  <si>
    <t>осмотр э/сетей</t>
  </si>
  <si>
    <t>осмотр, прочистка канализации</t>
  </si>
  <si>
    <t>осмотр электросетей, замена автомата и выключателя</t>
  </si>
  <si>
    <t>Ремонтные работы (общестроительные)</t>
  </si>
  <si>
    <t>Осмотр систем водоснабжения, водоотведения на предмет утечки по заявке, ремонтные работы</t>
  </si>
  <si>
    <t>акт Ст.город</t>
  </si>
  <si>
    <t>осмотр э/сетей, смена ламп в МОП</t>
  </si>
  <si>
    <t>08-09.06.2015</t>
  </si>
  <si>
    <t>дезинсекция</t>
  </si>
  <si>
    <t>арс</t>
  </si>
  <si>
    <t>диагностика и ремонт домофона</t>
  </si>
  <si>
    <t>руб. (убыток)</t>
  </si>
  <si>
    <t>Справочно: финансовый результат с учетом задолженности</t>
  </si>
  <si>
    <t xml:space="preserve">Остаток на 01.03.2015 г. </t>
  </si>
  <si>
    <t>Задолженность на 01.03.2015 г.</t>
  </si>
  <si>
    <t>Задолженность на 01.03.2015</t>
  </si>
  <si>
    <t>Услуги аварийной службы</t>
  </si>
  <si>
    <t>ежемесячно</t>
  </si>
  <si>
    <t>ремонтные работы (общестроительные)</t>
  </si>
  <si>
    <t>осмотр систем водоснабжения, водоотведения на предмет утечки по заявке, ремонтные работы</t>
  </si>
  <si>
    <t>Наименование</t>
  </si>
  <si>
    <t>Задолженность населения на 31.12.2015 г.</t>
  </si>
  <si>
    <t>Снятие показаний приборов учета электроэнергиия</t>
  </si>
  <si>
    <t>Дезинсекция</t>
  </si>
  <si>
    <t>Диагностика и ремонт домофона</t>
  </si>
  <si>
    <t>ноябрь</t>
  </si>
  <si>
    <t>апрель</t>
  </si>
  <si>
    <t>снятие показаний приборов учета электроэнергии</t>
  </si>
  <si>
    <t>Сальдо на 31.12.2015 г.</t>
  </si>
  <si>
    <t>Материалы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</si>
  <si>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</si>
  <si>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</si>
  <si>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</si>
  <si>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</si>
  <si>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</si>
  <si>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</si>
  <si>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</si>
  <si>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Устранение параллельной отзвонки</t>
  </si>
  <si>
    <t>Осмотр электрических сетей, установка автоматов</t>
  </si>
  <si>
    <t>Осмотр чердачных и подвальных помещений</t>
  </si>
  <si>
    <t>Периодическое тех. освидетельствование лифта</t>
  </si>
  <si>
    <t>Аварийка</t>
  </si>
  <si>
    <t>Осмотр электрических сетей, смена ламп</t>
  </si>
  <si>
    <t xml:space="preserve">Обследование электрических сетей </t>
  </si>
  <si>
    <t>В управлении ООО "УК САМБИЯ - ЮГ" - с 01.03.2015 года</t>
  </si>
  <si>
    <t>Освидетельствование лифта</t>
  </si>
  <si>
    <t>Трубо-печные работы</t>
  </si>
  <si>
    <t>покос входит</t>
  </si>
  <si>
    <t>кгм нет</t>
  </si>
  <si>
    <t>Хол.вода на соид</t>
  </si>
  <si>
    <t>Водоотведение на соид</t>
  </si>
  <si>
    <t>Электроэнергия на соид</t>
  </si>
  <si>
    <t>Обследование электрических сетей.  Смена ламп накаливания. Ремонт выключателей</t>
  </si>
  <si>
    <t>Обследование электрических сетей.  Смена ламп накаливания, патронов</t>
  </si>
  <si>
    <t>Обследование электрических сетей.  Смена ламп накаливания.Ремонт патронов</t>
  </si>
  <si>
    <t>Ремонт групповых щитков, силового предохранительного шкафа</t>
  </si>
  <si>
    <t xml:space="preserve">Обследование электрических сетей. </t>
  </si>
  <si>
    <t>Обследование электрических сетей.  Смена ламп накаливания, патронов. Ремонт светильников</t>
  </si>
  <si>
    <t>Снятие показаний с приборов учета электроэнергии</t>
  </si>
  <si>
    <t>Обследование электрических сетей. Демонтаж/монтаж электросчетчиков</t>
  </si>
  <si>
    <t>Обследование электрических сетей. Демонтаж /монтажэлектросчетчиков</t>
  </si>
  <si>
    <t>Сварочные работы</t>
  </si>
  <si>
    <t>Устройство гидроизоляции</t>
  </si>
  <si>
    <t>Гидроизоляция канализационного колодца</t>
  </si>
  <si>
    <t>Окраска решеток и оград. Смена прямых звеньев водосточных труб</t>
  </si>
  <si>
    <t>Покос</t>
  </si>
  <si>
    <t>Страхование лифта</t>
  </si>
  <si>
    <t>Периодическое техническое освидетельствование лифтов</t>
  </si>
  <si>
    <t>Техническое обслуживание лифта</t>
  </si>
  <si>
    <t>Аварийные работы. Засор канализации</t>
  </si>
  <si>
    <t>Аварийные работы. Нет света</t>
  </si>
  <si>
    <t>Замена стеклопакета</t>
  </si>
  <si>
    <t>дератизация</t>
  </si>
  <si>
    <t>Установка дверного доводчика</t>
  </si>
  <si>
    <t>Програмирование коммутатора</t>
  </si>
  <si>
    <t>Грунт, доставка</t>
  </si>
  <si>
    <t>ежемесячно с 01.01.2017 по 31.07.2017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</si>
</sst>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4" fontId="2" fillId="13" borderId="10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2" fontId="2" fillId="13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horizontal="left" vertical="center"/>
    </xf>
    <xf numFmtId="0" fontId="2" fillId="12" borderId="10" xfId="0" applyFont="1" applyFill="1" applyBorder="1" applyAlignment="1">
      <alignment horizontal="center" vertical="center"/>
    </xf>
    <xf numFmtId="14" fontId="2" fillId="1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2" fillId="43" borderId="10" xfId="0" applyFont="1" applyFill="1" applyBorder="1" applyAlignment="1">
      <alignment horizontal="center" vertical="center"/>
    </xf>
    <xf numFmtId="14" fontId="2" fillId="43" borderId="10" xfId="0" applyNumberFormat="1" applyFont="1" applyFill="1" applyBorder="1" applyAlignment="1">
      <alignment horizontal="center" vertical="center"/>
    </xf>
    <xf numFmtId="4" fontId="2" fillId="44" borderId="10" xfId="0" applyNumberFormat="1" applyFont="1" applyFill="1" applyBorder="1" applyAlignment="1">
      <alignment horizontal="center" vertical="center"/>
    </xf>
    <xf numFmtId="0" fontId="1" fillId="43" borderId="0" xfId="0" applyFont="1" applyFill="1" applyAlignment="1">
      <alignment vertical="center"/>
    </xf>
    <xf numFmtId="14" fontId="1" fillId="33" borderId="0" xfId="0" applyNumberFormat="1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4" fontId="2" fillId="33" borderId="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45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46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horizontal="left" vertical="center"/>
    </xf>
    <xf numFmtId="0" fontId="44" fillId="47" borderId="1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/>
    </xf>
    <xf numFmtId="14" fontId="2" fillId="38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42" borderId="17" xfId="0" applyFont="1" applyFill="1" applyBorder="1" applyAlignment="1">
      <alignment horizontal="left" vertical="center" wrapText="1"/>
    </xf>
    <xf numFmtId="0" fontId="2" fillId="42" borderId="18" xfId="0" applyFont="1" applyFill="1" applyBorder="1" applyAlignment="1">
      <alignment horizontal="left" vertical="center" wrapText="1"/>
    </xf>
    <xf numFmtId="0" fontId="2" fillId="42" borderId="19" xfId="0" applyFont="1" applyFill="1" applyBorder="1" applyAlignment="1">
      <alignment horizontal="left" vertical="center" wrapText="1"/>
    </xf>
    <xf numFmtId="4" fontId="2" fillId="3" borderId="17" xfId="0" applyNumberFormat="1" applyFont="1" applyFill="1" applyBorder="1" applyAlignment="1">
      <alignment horizontal="left" vertical="center"/>
    </xf>
    <xf numFmtId="4" fontId="2" fillId="3" borderId="18" xfId="0" applyNumberFormat="1" applyFont="1" applyFill="1" applyBorder="1" applyAlignment="1">
      <alignment horizontal="left" vertical="center"/>
    </xf>
    <xf numFmtId="4" fontId="2" fillId="3" borderId="19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13" borderId="17" xfId="0" applyFont="1" applyFill="1" applyBorder="1" applyAlignment="1">
      <alignment horizontal="left" vertical="center" wrapText="1"/>
    </xf>
    <xf numFmtId="0" fontId="2" fillId="13" borderId="18" xfId="0" applyFont="1" applyFill="1" applyBorder="1" applyAlignment="1">
      <alignment horizontal="left" vertical="center" wrapText="1"/>
    </xf>
    <xf numFmtId="0" fontId="2" fillId="13" borderId="19" xfId="0" applyFont="1" applyFill="1" applyBorder="1" applyAlignment="1">
      <alignment horizontal="left" vertical="center" wrapText="1"/>
    </xf>
    <xf numFmtId="0" fontId="2" fillId="40" borderId="17" xfId="0" applyFont="1" applyFill="1" applyBorder="1" applyAlignment="1">
      <alignment horizontal="left" vertical="center" wrapText="1"/>
    </xf>
    <xf numFmtId="0" fontId="2" fillId="40" borderId="18" xfId="0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horizontal="left" wrapText="1"/>
    </xf>
    <xf numFmtId="0" fontId="2" fillId="37" borderId="19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/>
    </xf>
    <xf numFmtId="0" fontId="2" fillId="44" borderId="18" xfId="0" applyFont="1" applyFill="1" applyBorder="1" applyAlignment="1">
      <alignment horizontal="left" vertical="center" wrapText="1"/>
    </xf>
    <xf numFmtId="0" fontId="2" fillId="44" borderId="19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2" fillId="39" borderId="17" xfId="0" applyFont="1" applyFill="1" applyBorder="1" applyAlignment="1">
      <alignment horizontal="left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>
      <alignment horizontal="left" vertical="center" wrapText="1"/>
    </xf>
    <xf numFmtId="0" fontId="2" fillId="41" borderId="17" xfId="0" applyFont="1" applyFill="1" applyBorder="1" applyAlignment="1">
      <alignment horizontal="left" vertical="center" wrapText="1"/>
    </xf>
    <xf numFmtId="0" fontId="2" fillId="41" borderId="18" xfId="0" applyFont="1" applyFill="1" applyBorder="1" applyAlignment="1">
      <alignment horizontal="left" vertical="center" wrapText="1"/>
    </xf>
    <xf numFmtId="0" fontId="2" fillId="41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30">
      <selection activeCell="A41" sqref="A41"/>
    </sheetView>
  </sheetViews>
  <sheetFormatPr defaultColWidth="9.140625" defaultRowHeight="12.75" outlineLevelRow="1"/>
  <cols>
    <col min="1" max="1" width="4.421875" style="99" customWidth="1"/>
    <col min="2" max="2" width="17.00390625" style="8" customWidth="1"/>
    <col min="3" max="3" width="15.57421875" style="8" customWidth="1"/>
    <col min="4" max="4" width="13.57421875" style="8" customWidth="1"/>
    <col min="5" max="5" width="19.00390625" style="8" customWidth="1"/>
    <col min="6" max="6" width="18.140625" style="8" customWidth="1"/>
    <col min="7" max="7" width="11.5742187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61" t="s">
        <v>82</v>
      </c>
      <c r="B1" s="161"/>
      <c r="C1" s="161"/>
      <c r="D1" s="161"/>
      <c r="E1" s="161"/>
      <c r="F1" s="161"/>
      <c r="G1" s="111"/>
    </row>
    <row r="2" spans="1:8" ht="15.75">
      <c r="A2" s="161" t="s">
        <v>49</v>
      </c>
      <c r="B2" s="161"/>
      <c r="C2" s="161"/>
      <c r="D2" s="161"/>
      <c r="E2" s="161"/>
      <c r="F2" s="161"/>
      <c r="G2" s="15"/>
      <c r="H2" s="16"/>
    </row>
    <row r="3" ht="1.5" customHeight="1"/>
    <row r="4" spans="1:6" ht="15.75" hidden="1" outlineLevel="1">
      <c r="A4" s="100" t="s">
        <v>96</v>
      </c>
      <c r="C4" s="18"/>
      <c r="D4" s="18"/>
      <c r="E4" s="18"/>
      <c r="F4" s="18"/>
    </row>
    <row r="5" spans="1:6" ht="3" customHeight="1" hidden="1" outlineLevel="1">
      <c r="A5" s="100" t="s">
        <v>14</v>
      </c>
      <c r="C5" s="18"/>
      <c r="D5" s="18">
        <v>3733.1</v>
      </c>
      <c r="E5" s="18" t="s">
        <v>15</v>
      </c>
      <c r="F5" s="18"/>
    </row>
    <row r="6" ht="9" customHeight="1" collapsed="1"/>
    <row r="7" spans="1:6" ht="15.75">
      <c r="A7" s="101" t="s">
        <v>83</v>
      </c>
      <c r="C7" s="15"/>
      <c r="D7" s="19">
        <f>'2016'!F38</f>
        <v>193468.53199999995</v>
      </c>
      <c r="E7" s="15" t="s">
        <v>19</v>
      </c>
      <c r="F7" s="15"/>
    </row>
    <row r="8" spans="1:6" ht="15.75">
      <c r="A8" s="101" t="s">
        <v>84</v>
      </c>
      <c r="C8" s="18"/>
      <c r="D8" s="20">
        <f>C19</f>
        <v>-119949.89999999995</v>
      </c>
      <c r="E8" s="18" t="s">
        <v>18</v>
      </c>
      <c r="F8" s="18"/>
    </row>
    <row r="9" spans="2:6" ht="15.75">
      <c r="B9" s="18"/>
      <c r="C9" s="18"/>
      <c r="D9" s="18"/>
      <c r="E9" s="18"/>
      <c r="F9" s="21" t="s">
        <v>19</v>
      </c>
    </row>
    <row r="10" spans="1:6" s="17" customFormat="1" ht="28.5" customHeight="1">
      <c r="A10" s="102" t="s">
        <v>20</v>
      </c>
      <c r="B10" s="22" t="s">
        <v>21</v>
      </c>
      <c r="C10" s="23" t="s">
        <v>85</v>
      </c>
      <c r="D10" s="23" t="s">
        <v>0</v>
      </c>
      <c r="E10" s="23" t="s">
        <v>23</v>
      </c>
      <c r="F10" s="23" t="s">
        <v>86</v>
      </c>
    </row>
    <row r="11" spans="1:9" s="26" customFormat="1" ht="30" customHeight="1">
      <c r="A11" s="102">
        <v>1</v>
      </c>
      <c r="B11" s="24" t="s">
        <v>1</v>
      </c>
      <c r="C11" s="9">
        <v>-76887.28999999998</v>
      </c>
      <c r="D11" s="9">
        <f>384856.18-12.89-315.44</f>
        <v>384527.85</v>
      </c>
      <c r="E11" s="9">
        <v>381690.87</v>
      </c>
      <c r="F11" s="9">
        <f aca="true" t="shared" si="0" ref="F11:F18">C11-D11+E11</f>
        <v>-79724.26999999996</v>
      </c>
      <c r="G11" s="8" t="s">
        <v>43</v>
      </c>
      <c r="H11" s="8">
        <v>8.59</v>
      </c>
      <c r="I11" s="39">
        <f>H11*12*H23</f>
        <v>384807.948</v>
      </c>
    </row>
    <row r="12" spans="1:9" s="26" customFormat="1" ht="30" customHeight="1">
      <c r="A12" s="102">
        <v>2</v>
      </c>
      <c r="B12" s="24" t="s">
        <v>2</v>
      </c>
      <c r="C12" s="9">
        <v>-15932.469999999987</v>
      </c>
      <c r="D12" s="9">
        <f>79749.02-2.67</f>
        <v>79746.35</v>
      </c>
      <c r="E12" s="9">
        <v>79018.54</v>
      </c>
      <c r="F12" s="9">
        <f t="shared" si="0"/>
        <v>-16660.28</v>
      </c>
      <c r="G12" s="18" t="s">
        <v>44</v>
      </c>
      <c r="H12" s="8">
        <v>3.34</v>
      </c>
      <c r="I12" s="38">
        <f>H12*12*H23</f>
        <v>149622.648</v>
      </c>
    </row>
    <row r="13" spans="1:9" s="26" customFormat="1" ht="29.25" customHeight="1">
      <c r="A13" s="102">
        <v>3</v>
      </c>
      <c r="B13" s="24" t="s">
        <v>3</v>
      </c>
      <c r="C13" s="9">
        <v>-11546.459999999992</v>
      </c>
      <c r="D13" s="9">
        <f>57795.94-1.94</f>
        <v>57794</v>
      </c>
      <c r="E13" s="9">
        <v>57216.26</v>
      </c>
      <c r="F13" s="9">
        <f t="shared" si="0"/>
        <v>-12124.19999999999</v>
      </c>
      <c r="G13" s="18" t="s">
        <v>45</v>
      </c>
      <c r="H13" s="8">
        <f>2.02</f>
        <v>2.02</v>
      </c>
      <c r="I13" s="38">
        <f>H13*12*H23</f>
        <v>90490.34400000001</v>
      </c>
    </row>
    <row r="14" spans="1:9" s="26" customFormat="1" ht="30" customHeight="1">
      <c r="A14" s="102">
        <v>4</v>
      </c>
      <c r="B14" s="24" t="s">
        <v>4</v>
      </c>
      <c r="C14" s="9">
        <v>-3123.529999999999</v>
      </c>
      <c r="D14" s="9">
        <f>3604.28+186.63</f>
        <v>3790.9100000000003</v>
      </c>
      <c r="E14" s="9">
        <v>5385.81</v>
      </c>
      <c r="F14" s="9">
        <f t="shared" si="0"/>
        <v>-1528.6299999999983</v>
      </c>
      <c r="G14" s="8" t="s">
        <v>46</v>
      </c>
      <c r="H14" s="8">
        <v>1.29</v>
      </c>
      <c r="I14" s="39">
        <f>H14*12*H23</f>
        <v>57788.388</v>
      </c>
    </row>
    <row r="15" spans="1:8" s="26" customFormat="1" ht="30" customHeight="1">
      <c r="A15" s="102">
        <v>5</v>
      </c>
      <c r="B15" s="24" t="s">
        <v>47</v>
      </c>
      <c r="C15" s="9">
        <v>-12460.149999999994</v>
      </c>
      <c r="D15" s="9">
        <f>61455.14-3.29</f>
        <v>61451.85</v>
      </c>
      <c r="E15" s="9">
        <v>57777.05</v>
      </c>
      <c r="F15" s="9">
        <f t="shared" si="0"/>
        <v>-16134.949999999997</v>
      </c>
      <c r="G15" s="25"/>
      <c r="H15" s="25"/>
    </row>
    <row r="16" spans="1:8" s="26" customFormat="1" ht="30" customHeight="1">
      <c r="A16" s="7">
        <v>6</v>
      </c>
      <c r="B16" s="24" t="s">
        <v>101</v>
      </c>
      <c r="C16" s="113">
        <v>0</v>
      </c>
      <c r="D16" s="114">
        <f>2353.42+550.69</f>
        <v>2904.11</v>
      </c>
      <c r="E16" s="114">
        <v>2424.75</v>
      </c>
      <c r="F16" s="115">
        <f t="shared" si="0"/>
        <v>-479.3600000000001</v>
      </c>
      <c r="G16" s="25"/>
      <c r="H16" s="25"/>
    </row>
    <row r="17" spans="1:8" s="26" customFormat="1" ht="30" customHeight="1">
      <c r="A17" s="7">
        <v>7</v>
      </c>
      <c r="B17" s="24" t="s">
        <v>102</v>
      </c>
      <c r="C17" s="113">
        <v>0</v>
      </c>
      <c r="D17" s="114">
        <v>1562.48</v>
      </c>
      <c r="E17" s="114">
        <v>1213.72</v>
      </c>
      <c r="F17" s="115">
        <f t="shared" si="0"/>
        <v>-348.76</v>
      </c>
      <c r="G17" s="25"/>
      <c r="H17" s="25"/>
    </row>
    <row r="18" spans="1:8" s="26" customFormat="1" ht="30" customHeight="1">
      <c r="A18" s="7">
        <v>8</v>
      </c>
      <c r="B18" s="24" t="s">
        <v>103</v>
      </c>
      <c r="C18" s="113">
        <v>0</v>
      </c>
      <c r="D18" s="114">
        <f>104277.56-34173.47+438.53+128.81</f>
        <v>70671.43</v>
      </c>
      <c r="E18" s="114">
        <v>57758.36</v>
      </c>
      <c r="F18" s="115">
        <f t="shared" si="0"/>
        <v>-12913.069999999992</v>
      </c>
      <c r="G18" s="25"/>
      <c r="H18" s="25"/>
    </row>
    <row r="19" spans="1:8" ht="26.25" customHeight="1">
      <c r="A19" s="102"/>
      <c r="B19" s="24" t="s">
        <v>5</v>
      </c>
      <c r="C19" s="9">
        <f>SUM(C11:C18)</f>
        <v>-119949.89999999995</v>
      </c>
      <c r="D19" s="9">
        <f>SUM(D11:D18)</f>
        <v>662448.98</v>
      </c>
      <c r="E19" s="9">
        <f>SUM(E11:E18)</f>
        <v>642485.36</v>
      </c>
      <c r="F19" s="9">
        <f>SUM(F11:F18)</f>
        <v>-139913.51999999993</v>
      </c>
      <c r="H19" s="112" t="s">
        <v>99</v>
      </c>
    </row>
    <row r="20" ht="11.25" customHeight="1">
      <c r="H20" s="112" t="s">
        <v>100</v>
      </c>
    </row>
    <row r="21" spans="1:6" ht="15.75">
      <c r="A21" s="161" t="s">
        <v>24</v>
      </c>
      <c r="B21" s="161"/>
      <c r="C21" s="161"/>
      <c r="D21" s="161"/>
      <c r="E21" s="161"/>
      <c r="F21" s="161"/>
    </row>
    <row r="22" spans="1:8" ht="15.75">
      <c r="A22" s="103"/>
      <c r="B22" s="111"/>
      <c r="C22" s="111"/>
      <c r="D22" s="111"/>
      <c r="E22" s="111"/>
      <c r="F22" s="111"/>
      <c r="H22" s="8" t="s">
        <v>25</v>
      </c>
    </row>
    <row r="23" spans="1:8" ht="33" customHeight="1">
      <c r="A23" s="104" t="s">
        <v>42</v>
      </c>
      <c r="B23" s="162" t="s">
        <v>72</v>
      </c>
      <c r="C23" s="162"/>
      <c r="D23" s="162"/>
      <c r="E23" s="162"/>
      <c r="F23" s="27" t="s">
        <v>13</v>
      </c>
      <c r="G23" s="28"/>
      <c r="H23" s="8">
        <f>D5</f>
        <v>3733.1</v>
      </c>
    </row>
    <row r="24" spans="1:10" ht="18" customHeight="1">
      <c r="A24" s="105">
        <v>1</v>
      </c>
      <c r="B24" s="163" t="s">
        <v>7</v>
      </c>
      <c r="C24" s="163"/>
      <c r="D24" s="163"/>
      <c r="E24" s="163"/>
      <c r="F24" s="4">
        <f>I12</f>
        <v>149622.648</v>
      </c>
      <c r="G24" s="30"/>
      <c r="H24" s="8" t="s">
        <v>26</v>
      </c>
      <c r="I24" s="22" t="s">
        <v>27</v>
      </c>
      <c r="J24" s="22" t="s">
        <v>28</v>
      </c>
    </row>
    <row r="25" spans="1:10" ht="18" customHeight="1">
      <c r="A25" s="106">
        <v>2</v>
      </c>
      <c r="B25" s="160" t="s">
        <v>29</v>
      </c>
      <c r="C25" s="160"/>
      <c r="D25" s="160"/>
      <c r="E25" s="160"/>
      <c r="F25" s="5">
        <f>I13</f>
        <v>90490.34400000001</v>
      </c>
      <c r="G25" s="30"/>
      <c r="I25" s="88">
        <f>7498.27/(3760.1+1865.12)*H23</f>
        <v>4976.123909287105</v>
      </c>
      <c r="J25" s="88">
        <f>5967.69/(1689.82+3760.1)*H23</f>
        <v>4087.7634055178787</v>
      </c>
    </row>
    <row r="26" spans="1:10" ht="18" customHeight="1">
      <c r="A26" s="106">
        <v>3</v>
      </c>
      <c r="B26" s="160" t="s">
        <v>30</v>
      </c>
      <c r="C26" s="160"/>
      <c r="D26" s="160"/>
      <c r="E26" s="160"/>
      <c r="F26" s="5">
        <f>D13</f>
        <v>57794</v>
      </c>
      <c r="G26" s="30"/>
      <c r="I26" s="88">
        <f>I25*12</f>
        <v>59713.48691144526</v>
      </c>
      <c r="J26" s="88">
        <f>J25*12</f>
        <v>49053.160866214545</v>
      </c>
    </row>
    <row r="27" spans="1:7" ht="18" customHeight="1">
      <c r="A27" s="106">
        <v>4</v>
      </c>
      <c r="B27" s="160" t="s">
        <v>9</v>
      </c>
      <c r="C27" s="160"/>
      <c r="D27" s="160"/>
      <c r="E27" s="160"/>
      <c r="F27" s="5">
        <f>F28+F29+F30+F31</f>
        <v>59679.020000000004</v>
      </c>
      <c r="G27" s="90"/>
    </row>
    <row r="28" spans="1:7" ht="18" customHeight="1">
      <c r="A28" s="106" t="s">
        <v>10</v>
      </c>
      <c r="B28" s="160" t="s">
        <v>124</v>
      </c>
      <c r="C28" s="160"/>
      <c r="D28" s="160"/>
      <c r="E28" s="160"/>
      <c r="F28" s="6">
        <f>F100</f>
        <v>118.02</v>
      </c>
      <c r="G28" s="30"/>
    </row>
    <row r="29" spans="1:7" ht="16.5" customHeight="1">
      <c r="A29" s="106" t="s">
        <v>10</v>
      </c>
      <c r="B29" s="160" t="s">
        <v>32</v>
      </c>
      <c r="C29" s="160"/>
      <c r="D29" s="160"/>
      <c r="E29" s="160"/>
      <c r="F29" s="6">
        <f>F51+F52+F53+F54+F55+F56+F57+F58+F59+F60+F61+F62+F65+F66+F67+F68+F70+F71+F74</f>
        <v>23587</v>
      </c>
      <c r="G29" s="18"/>
    </row>
    <row r="30" spans="1:9" ht="16.5" customHeight="1">
      <c r="A30" s="106" t="s">
        <v>10</v>
      </c>
      <c r="B30" s="160" t="s">
        <v>33</v>
      </c>
      <c r="C30" s="160"/>
      <c r="D30" s="160"/>
      <c r="E30" s="160"/>
      <c r="F30" s="6">
        <f>F75+F76+F77+F78+F99</f>
        <v>31104</v>
      </c>
      <c r="G30" s="20"/>
      <c r="I30" s="87"/>
    </row>
    <row r="31" spans="1:7" ht="16.5" customHeight="1">
      <c r="A31" s="106" t="s">
        <v>10</v>
      </c>
      <c r="B31" s="160" t="s">
        <v>74</v>
      </c>
      <c r="C31" s="160"/>
      <c r="D31" s="160"/>
      <c r="E31" s="160"/>
      <c r="F31" s="6">
        <f>F50+F63+F64+F69+F72+F73</f>
        <v>4870</v>
      </c>
      <c r="G31" s="18"/>
    </row>
    <row r="32" spans="1:7" ht="17.25" customHeight="1">
      <c r="A32" s="106">
        <v>5</v>
      </c>
      <c r="B32" s="159" t="s">
        <v>48</v>
      </c>
      <c r="C32" s="159"/>
      <c r="D32" s="159"/>
      <c r="E32" s="159"/>
      <c r="F32" s="6">
        <f>F82+F83+F84+F85+F86+F87+F88+F89+F90+F91+F92+F93+F94+F95</f>
        <v>62992.32</v>
      </c>
      <c r="G32" s="18"/>
    </row>
    <row r="33" spans="1:7" ht="17.25" customHeight="1">
      <c r="A33" s="106">
        <v>6</v>
      </c>
      <c r="B33" s="159" t="s">
        <v>76</v>
      </c>
      <c r="C33" s="159"/>
      <c r="D33" s="159"/>
      <c r="E33" s="159"/>
      <c r="F33" s="6">
        <f>F101+F102+F103</f>
        <v>6050</v>
      </c>
      <c r="G33" s="18"/>
    </row>
    <row r="34" spans="1:7" ht="17.25" customHeight="1">
      <c r="A34" s="106">
        <v>7</v>
      </c>
      <c r="B34" s="159" t="s">
        <v>68</v>
      </c>
      <c r="C34" s="159"/>
      <c r="D34" s="159"/>
      <c r="E34" s="159"/>
      <c r="F34" s="6">
        <f>F96+F97+F98</f>
        <v>2840</v>
      </c>
      <c r="G34" s="18"/>
    </row>
    <row r="35" spans="1:7" ht="17.25" customHeight="1">
      <c r="A35" s="106">
        <v>8</v>
      </c>
      <c r="B35" s="159" t="s">
        <v>2</v>
      </c>
      <c r="C35" s="159"/>
      <c r="D35" s="159"/>
      <c r="E35" s="159"/>
      <c r="F35" s="6">
        <f>D12</f>
        <v>79746.35</v>
      </c>
      <c r="G35" s="18"/>
    </row>
    <row r="36" spans="1:7" s="34" customFormat="1" ht="15.75">
      <c r="A36" s="106">
        <v>9</v>
      </c>
      <c r="B36" s="159" t="s">
        <v>4</v>
      </c>
      <c r="C36" s="159"/>
      <c r="D36" s="159"/>
      <c r="E36" s="159"/>
      <c r="F36" s="6">
        <f>D14</f>
        <v>3790.9100000000003</v>
      </c>
      <c r="G36" s="15"/>
    </row>
    <row r="37" spans="1:7" s="34" customFormat="1" ht="15.75">
      <c r="A37" s="106">
        <v>10</v>
      </c>
      <c r="B37" s="147" t="s">
        <v>127</v>
      </c>
      <c r="C37" s="148"/>
      <c r="D37" s="148"/>
      <c r="E37" s="149"/>
      <c r="F37" s="6">
        <f>F104</f>
        <v>3000</v>
      </c>
      <c r="G37" s="15"/>
    </row>
    <row r="38" spans="1:7" s="34" customFormat="1" ht="15.75">
      <c r="A38" s="106">
        <v>11</v>
      </c>
      <c r="B38" s="147" t="s">
        <v>8</v>
      </c>
      <c r="C38" s="148"/>
      <c r="D38" s="148"/>
      <c r="E38" s="149"/>
      <c r="F38" s="6">
        <f>0.24*9*H23+0.71*3*H23</f>
        <v>16014.999</v>
      </c>
      <c r="G38" s="15"/>
    </row>
    <row r="39" spans="1:7" s="34" customFormat="1" ht="15.75">
      <c r="A39" s="31">
        <v>12</v>
      </c>
      <c r="B39" s="159" t="s">
        <v>101</v>
      </c>
      <c r="C39" s="159"/>
      <c r="D39" s="159"/>
      <c r="E39" s="159"/>
      <c r="F39" s="6">
        <f>D16</f>
        <v>2904.11</v>
      </c>
      <c r="G39" s="15"/>
    </row>
    <row r="40" spans="1:7" s="34" customFormat="1" ht="15.75">
      <c r="A40" s="31">
        <v>13</v>
      </c>
      <c r="B40" s="159" t="s">
        <v>102</v>
      </c>
      <c r="C40" s="159"/>
      <c r="D40" s="159"/>
      <c r="E40" s="159"/>
      <c r="F40" s="6">
        <f>D17</f>
        <v>1562.48</v>
      </c>
      <c r="G40" s="15"/>
    </row>
    <row r="41" spans="1:7" s="34" customFormat="1" ht="15.75">
      <c r="A41" s="31">
        <v>14</v>
      </c>
      <c r="B41" s="159" t="s">
        <v>103</v>
      </c>
      <c r="C41" s="159"/>
      <c r="D41" s="159"/>
      <c r="E41" s="159"/>
      <c r="F41" s="6">
        <f>D18</f>
        <v>70671.43</v>
      </c>
      <c r="G41" s="15"/>
    </row>
    <row r="42" spans="1:6" ht="19.5" customHeight="1">
      <c r="A42" s="107"/>
      <c r="B42" s="150" t="s">
        <v>11</v>
      </c>
      <c r="C42" s="150"/>
      <c r="D42" s="150"/>
      <c r="E42" s="150"/>
      <c r="F42" s="33">
        <f>F24+F25+F26+F27+F35+F36+F34+F32+F33+F37+F38+F39+F40+F41</f>
        <v>607158.6109999998</v>
      </c>
    </row>
    <row r="43" ht="18" customHeight="1"/>
    <row r="44" spans="1:6" ht="20.25" customHeight="1">
      <c r="A44" s="151" t="s">
        <v>87</v>
      </c>
      <c r="B44" s="152"/>
      <c r="C44" s="152"/>
      <c r="D44" s="152"/>
      <c r="E44" s="153"/>
      <c r="F44" s="6">
        <f>D19-F42+D7</f>
        <v>248758.90100000013</v>
      </c>
    </row>
    <row r="45" spans="1:6" ht="18" customHeight="1">
      <c r="A45" s="154" t="s">
        <v>88</v>
      </c>
      <c r="B45" s="154"/>
      <c r="C45" s="154"/>
      <c r="D45" s="154"/>
      <c r="E45" s="154"/>
      <c r="F45" s="6">
        <f>F19</f>
        <v>-139913.51999999993</v>
      </c>
    </row>
    <row r="46" spans="1:6" ht="19.5" customHeight="1">
      <c r="A46" s="155" t="s">
        <v>64</v>
      </c>
      <c r="B46" s="155"/>
      <c r="C46" s="155"/>
      <c r="D46" s="155"/>
      <c r="E46" s="155"/>
      <c r="F46" s="6">
        <f>F44+F45</f>
        <v>108845.3810000002</v>
      </c>
    </row>
    <row r="48" ht="15.75">
      <c r="A48" s="17"/>
    </row>
    <row r="49" spans="1:6" ht="15.75">
      <c r="A49" s="35" t="s">
        <v>20</v>
      </c>
      <c r="B49" s="35" t="s">
        <v>12</v>
      </c>
      <c r="C49" s="156" t="s">
        <v>34</v>
      </c>
      <c r="D49" s="157"/>
      <c r="E49" s="158"/>
      <c r="F49" s="35" t="s">
        <v>35</v>
      </c>
    </row>
    <row r="50" spans="1:6" ht="45">
      <c r="A50" s="35"/>
      <c r="B50" s="131" t="s">
        <v>128</v>
      </c>
      <c r="C50" s="134" t="s">
        <v>41</v>
      </c>
      <c r="D50" s="135"/>
      <c r="E50" s="136"/>
      <c r="F50" s="132">
        <f>170*7</f>
        <v>1190</v>
      </c>
    </row>
    <row r="51" spans="1:7" ht="32.25" customHeight="1">
      <c r="A51" s="35"/>
      <c r="B51" s="117">
        <v>42753</v>
      </c>
      <c r="C51" s="137" t="s">
        <v>104</v>
      </c>
      <c r="D51" s="138"/>
      <c r="E51" s="139"/>
      <c r="F51" s="118">
        <v>764</v>
      </c>
      <c r="G51" s="116"/>
    </row>
    <row r="52" spans="1:7" ht="36" customHeight="1">
      <c r="A52" s="119"/>
      <c r="B52" s="117">
        <v>42775</v>
      </c>
      <c r="C52" s="137" t="s">
        <v>105</v>
      </c>
      <c r="D52" s="138"/>
      <c r="E52" s="139"/>
      <c r="F52" s="118">
        <v>595</v>
      </c>
      <c r="G52" s="17"/>
    </row>
    <row r="53" spans="1:6" ht="36" customHeight="1">
      <c r="A53" s="119"/>
      <c r="B53" s="117">
        <v>42809</v>
      </c>
      <c r="C53" s="137" t="s">
        <v>106</v>
      </c>
      <c r="D53" s="138"/>
      <c r="E53" s="139"/>
      <c r="F53" s="118">
        <v>629</v>
      </c>
    </row>
    <row r="54" spans="1:6" ht="36" customHeight="1">
      <c r="A54" s="119"/>
      <c r="B54" s="117">
        <v>42810</v>
      </c>
      <c r="C54" s="137" t="s">
        <v>107</v>
      </c>
      <c r="D54" s="138"/>
      <c r="E54" s="139"/>
      <c r="F54" s="118">
        <v>5186</v>
      </c>
    </row>
    <row r="55" spans="1:6" ht="18.75" customHeight="1">
      <c r="A55" s="119"/>
      <c r="B55" s="117">
        <v>42837</v>
      </c>
      <c r="C55" s="137" t="s">
        <v>108</v>
      </c>
      <c r="D55" s="138"/>
      <c r="E55" s="139"/>
      <c r="F55" s="118">
        <v>850</v>
      </c>
    </row>
    <row r="56" spans="1:6" ht="18.75" customHeight="1">
      <c r="A56" s="119"/>
      <c r="B56" s="117">
        <v>42851</v>
      </c>
      <c r="C56" s="137" t="s">
        <v>108</v>
      </c>
      <c r="D56" s="138"/>
      <c r="E56" s="139"/>
      <c r="F56" s="118">
        <v>850</v>
      </c>
    </row>
    <row r="57" spans="1:6" ht="18.75" customHeight="1">
      <c r="A57" s="119"/>
      <c r="B57" s="117">
        <v>42885</v>
      </c>
      <c r="C57" s="137" t="s">
        <v>108</v>
      </c>
      <c r="D57" s="138"/>
      <c r="E57" s="139"/>
      <c r="F57" s="118">
        <v>850</v>
      </c>
    </row>
    <row r="58" spans="1:6" ht="45" customHeight="1">
      <c r="A58" s="119"/>
      <c r="B58" s="117">
        <v>42877</v>
      </c>
      <c r="C58" s="137" t="s">
        <v>109</v>
      </c>
      <c r="D58" s="138"/>
      <c r="E58" s="139"/>
      <c r="F58" s="118">
        <v>1083</v>
      </c>
    </row>
    <row r="59" spans="1:6" ht="37.5" customHeight="1">
      <c r="A59" s="119"/>
      <c r="B59" s="117">
        <v>42891</v>
      </c>
      <c r="C59" s="137" t="s">
        <v>106</v>
      </c>
      <c r="D59" s="138"/>
      <c r="E59" s="139"/>
      <c r="F59" s="118">
        <v>843</v>
      </c>
    </row>
    <row r="60" spans="1:6" ht="18.75" customHeight="1">
      <c r="A60" s="119"/>
      <c r="B60" s="117">
        <v>42933</v>
      </c>
      <c r="C60" s="137" t="s">
        <v>108</v>
      </c>
      <c r="D60" s="138"/>
      <c r="E60" s="139"/>
      <c r="F60" s="118">
        <v>425</v>
      </c>
    </row>
    <row r="61" spans="1:6" ht="18.75" customHeight="1">
      <c r="A61" s="119"/>
      <c r="B61" s="117">
        <v>42950</v>
      </c>
      <c r="C61" s="137" t="s">
        <v>108</v>
      </c>
      <c r="D61" s="138"/>
      <c r="E61" s="139"/>
      <c r="F61" s="118">
        <v>425</v>
      </c>
    </row>
    <row r="62" spans="1:6" ht="15.75">
      <c r="A62" s="119"/>
      <c r="B62" s="117">
        <v>42977</v>
      </c>
      <c r="C62" s="137" t="s">
        <v>108</v>
      </c>
      <c r="D62" s="138"/>
      <c r="E62" s="139"/>
      <c r="F62" s="118">
        <v>850</v>
      </c>
    </row>
    <row r="63" spans="1:6" ht="12.75" customHeight="1">
      <c r="A63" s="119"/>
      <c r="B63" s="117">
        <v>42978</v>
      </c>
      <c r="C63" s="137" t="s">
        <v>110</v>
      </c>
      <c r="D63" s="138"/>
      <c r="E63" s="139"/>
      <c r="F63" s="118">
        <v>770</v>
      </c>
    </row>
    <row r="64" spans="1:6" ht="12.75" customHeight="1">
      <c r="A64" s="119"/>
      <c r="B64" s="117">
        <v>43008</v>
      </c>
      <c r="C64" s="137" t="s">
        <v>110</v>
      </c>
      <c r="D64" s="138"/>
      <c r="E64" s="139"/>
      <c r="F64" s="118">
        <v>765</v>
      </c>
    </row>
    <row r="65" spans="1:6" ht="12.75" customHeight="1">
      <c r="A65" s="119"/>
      <c r="B65" s="117">
        <v>43014</v>
      </c>
      <c r="C65" s="137" t="s">
        <v>111</v>
      </c>
      <c r="D65" s="138"/>
      <c r="E65" s="139"/>
      <c r="F65" s="118">
        <v>2948</v>
      </c>
    </row>
    <row r="66" spans="1:6" ht="33.75" customHeight="1">
      <c r="A66" s="119"/>
      <c r="B66" s="117">
        <v>43014</v>
      </c>
      <c r="C66" s="137" t="s">
        <v>112</v>
      </c>
      <c r="D66" s="138"/>
      <c r="E66" s="139"/>
      <c r="F66" s="118">
        <v>2845</v>
      </c>
    </row>
    <row r="67" spans="1:6" ht="33.75" customHeight="1">
      <c r="A67" s="119"/>
      <c r="B67" s="117">
        <v>43018</v>
      </c>
      <c r="C67" s="137" t="s">
        <v>106</v>
      </c>
      <c r="D67" s="138"/>
      <c r="E67" s="139"/>
      <c r="F67" s="118">
        <v>866</v>
      </c>
    </row>
    <row r="68" spans="1:6" ht="33.75" customHeight="1">
      <c r="A68" s="119"/>
      <c r="B68" s="117">
        <v>43024</v>
      </c>
      <c r="C68" s="137" t="s">
        <v>106</v>
      </c>
      <c r="D68" s="138"/>
      <c r="E68" s="139"/>
      <c r="F68" s="118">
        <v>1087</v>
      </c>
    </row>
    <row r="69" spans="1:6" ht="12.75" customHeight="1">
      <c r="A69" s="119"/>
      <c r="B69" s="117">
        <v>43039</v>
      </c>
      <c r="C69" s="137" t="s">
        <v>110</v>
      </c>
      <c r="D69" s="138"/>
      <c r="E69" s="139"/>
      <c r="F69" s="118">
        <v>770</v>
      </c>
    </row>
    <row r="70" spans="1:6" ht="35.25" customHeight="1">
      <c r="A70" s="119"/>
      <c r="B70" s="117">
        <v>43042</v>
      </c>
      <c r="C70" s="137" t="s">
        <v>106</v>
      </c>
      <c r="D70" s="138"/>
      <c r="E70" s="139"/>
      <c r="F70" s="118">
        <v>691</v>
      </c>
    </row>
    <row r="71" spans="1:6" ht="12.75" customHeight="1">
      <c r="A71" s="119"/>
      <c r="B71" s="117">
        <v>43049</v>
      </c>
      <c r="C71" s="137" t="s">
        <v>108</v>
      </c>
      <c r="D71" s="138"/>
      <c r="E71" s="139"/>
      <c r="F71" s="118">
        <v>850</v>
      </c>
    </row>
    <row r="72" spans="1:6" ht="12.75" customHeight="1">
      <c r="A72" s="119"/>
      <c r="B72" s="117">
        <v>43069</v>
      </c>
      <c r="C72" s="137" t="s">
        <v>110</v>
      </c>
      <c r="D72" s="138"/>
      <c r="E72" s="139"/>
      <c r="F72" s="118">
        <v>600</v>
      </c>
    </row>
    <row r="73" spans="1:6" ht="12.75" customHeight="1">
      <c r="A73" s="119"/>
      <c r="B73" s="117">
        <v>43098</v>
      </c>
      <c r="C73" s="137" t="s">
        <v>110</v>
      </c>
      <c r="D73" s="138"/>
      <c r="E73" s="139"/>
      <c r="F73" s="118">
        <v>775</v>
      </c>
    </row>
    <row r="74" spans="1:6" ht="33" customHeight="1">
      <c r="A74" s="119"/>
      <c r="B74" s="117">
        <v>43090</v>
      </c>
      <c r="C74" s="137" t="s">
        <v>106</v>
      </c>
      <c r="D74" s="138"/>
      <c r="E74" s="139"/>
      <c r="F74" s="118">
        <v>950</v>
      </c>
    </row>
    <row r="75" spans="1:6" ht="12.75" customHeight="1">
      <c r="A75" s="119"/>
      <c r="B75" s="117">
        <v>42782</v>
      </c>
      <c r="C75" s="137" t="s">
        <v>113</v>
      </c>
      <c r="D75" s="138"/>
      <c r="E75" s="139"/>
      <c r="F75" s="120">
        <v>5500</v>
      </c>
    </row>
    <row r="76" spans="1:6" ht="12.75" customHeight="1">
      <c r="A76" s="119"/>
      <c r="B76" s="117">
        <v>42928</v>
      </c>
      <c r="C76" s="137" t="s">
        <v>114</v>
      </c>
      <c r="D76" s="138"/>
      <c r="E76" s="139"/>
      <c r="F76" s="120">
        <v>4363</v>
      </c>
    </row>
    <row r="77" spans="1:6" ht="12.75" customHeight="1">
      <c r="A77" s="119"/>
      <c r="B77" s="117">
        <v>42940</v>
      </c>
      <c r="C77" s="137" t="s">
        <v>115</v>
      </c>
      <c r="D77" s="138"/>
      <c r="E77" s="139"/>
      <c r="F77" s="120">
        <v>2161</v>
      </c>
    </row>
    <row r="78" spans="1:6" ht="32.25" customHeight="1">
      <c r="A78" s="119"/>
      <c r="B78" s="117">
        <v>42884</v>
      </c>
      <c r="C78" s="137" t="s">
        <v>116</v>
      </c>
      <c r="D78" s="138"/>
      <c r="E78" s="139"/>
      <c r="F78" s="120">
        <v>16840</v>
      </c>
    </row>
    <row r="79" spans="1:6" ht="12.75" customHeight="1">
      <c r="A79" s="119"/>
      <c r="B79" s="117">
        <v>42886</v>
      </c>
      <c r="C79" s="137" t="s">
        <v>117</v>
      </c>
      <c r="D79" s="138"/>
      <c r="E79" s="139"/>
      <c r="F79" s="119">
        <v>1752</v>
      </c>
    </row>
    <row r="80" spans="1:6" ht="12.75" customHeight="1">
      <c r="A80" s="119"/>
      <c r="B80" s="117">
        <v>42947</v>
      </c>
      <c r="C80" s="137" t="s">
        <v>117</v>
      </c>
      <c r="D80" s="138"/>
      <c r="E80" s="139"/>
      <c r="F80" s="119">
        <v>1752</v>
      </c>
    </row>
    <row r="81" spans="1:6" ht="12.75" customHeight="1">
      <c r="A81" s="119"/>
      <c r="B81" s="117">
        <v>43008</v>
      </c>
      <c r="C81" s="137" t="s">
        <v>117</v>
      </c>
      <c r="D81" s="138"/>
      <c r="E81" s="139"/>
      <c r="F81" s="119">
        <v>1752</v>
      </c>
    </row>
    <row r="82" spans="1:6" ht="12.75" customHeight="1">
      <c r="A82" s="119"/>
      <c r="B82" s="117">
        <v>42754</v>
      </c>
      <c r="C82" s="140" t="s">
        <v>118</v>
      </c>
      <c r="D82" s="141"/>
      <c r="E82" s="142"/>
      <c r="F82" s="130">
        <f>392.16*2</f>
        <v>784.32</v>
      </c>
    </row>
    <row r="83" spans="1:6" ht="12.75" customHeight="1">
      <c r="A83" s="119"/>
      <c r="B83" s="117">
        <v>42914</v>
      </c>
      <c r="C83" s="125" t="s">
        <v>119</v>
      </c>
      <c r="D83" s="126"/>
      <c r="E83" s="127"/>
      <c r="F83" s="130">
        <v>8400</v>
      </c>
    </row>
    <row r="84" spans="1:6" ht="12.75" customHeight="1">
      <c r="A84" s="119"/>
      <c r="B84" s="117">
        <v>42761</v>
      </c>
      <c r="C84" s="140" t="s">
        <v>120</v>
      </c>
      <c r="D84" s="141"/>
      <c r="E84" s="142"/>
      <c r="F84" s="130">
        <f aca="true" t="shared" si="1" ref="F84:F95">2006*2+236*2</f>
        <v>4484</v>
      </c>
    </row>
    <row r="85" spans="1:6" ht="12.75" customHeight="1">
      <c r="A85" s="119"/>
      <c r="B85" s="117">
        <v>42786</v>
      </c>
      <c r="C85" s="140" t="s">
        <v>120</v>
      </c>
      <c r="D85" s="141"/>
      <c r="E85" s="142"/>
      <c r="F85" s="130">
        <f t="shared" si="1"/>
        <v>4484</v>
      </c>
    </row>
    <row r="86" spans="1:6" ht="12.75" customHeight="1">
      <c r="A86" s="119"/>
      <c r="B86" s="117">
        <v>42817</v>
      </c>
      <c r="C86" s="140" t="s">
        <v>120</v>
      </c>
      <c r="D86" s="141"/>
      <c r="E86" s="142"/>
      <c r="F86" s="130">
        <f t="shared" si="1"/>
        <v>4484</v>
      </c>
    </row>
    <row r="87" spans="1:6" ht="12.75" customHeight="1">
      <c r="A87" s="119"/>
      <c r="B87" s="117">
        <v>42849</v>
      </c>
      <c r="C87" s="140" t="s">
        <v>120</v>
      </c>
      <c r="D87" s="141"/>
      <c r="E87" s="142"/>
      <c r="F87" s="130">
        <f t="shared" si="1"/>
        <v>4484</v>
      </c>
    </row>
    <row r="88" spans="1:6" ht="12.75" customHeight="1">
      <c r="A88" s="119"/>
      <c r="B88" s="117">
        <v>42878</v>
      </c>
      <c r="C88" s="140" t="s">
        <v>120</v>
      </c>
      <c r="D88" s="141"/>
      <c r="E88" s="142"/>
      <c r="F88" s="130">
        <f t="shared" si="1"/>
        <v>4484</v>
      </c>
    </row>
    <row r="89" spans="1:6" ht="12.75" customHeight="1">
      <c r="A89" s="119"/>
      <c r="B89" s="117">
        <v>42909</v>
      </c>
      <c r="C89" s="140" t="s">
        <v>120</v>
      </c>
      <c r="D89" s="141"/>
      <c r="E89" s="142"/>
      <c r="F89" s="130">
        <f t="shared" si="1"/>
        <v>4484</v>
      </c>
    </row>
    <row r="90" spans="1:6" ht="12.75" customHeight="1">
      <c r="A90" s="119"/>
      <c r="B90" s="117">
        <v>42940</v>
      </c>
      <c r="C90" s="140" t="s">
        <v>120</v>
      </c>
      <c r="D90" s="141"/>
      <c r="E90" s="142"/>
      <c r="F90" s="130">
        <f t="shared" si="1"/>
        <v>4484</v>
      </c>
    </row>
    <row r="91" spans="1:6" ht="12.75" customHeight="1">
      <c r="A91" s="119"/>
      <c r="B91" s="117">
        <v>42970</v>
      </c>
      <c r="C91" s="140" t="s">
        <v>120</v>
      </c>
      <c r="D91" s="141"/>
      <c r="E91" s="142"/>
      <c r="F91" s="130">
        <f t="shared" si="1"/>
        <v>4484</v>
      </c>
    </row>
    <row r="92" spans="1:6" ht="12.75" customHeight="1">
      <c r="A92" s="119"/>
      <c r="B92" s="117">
        <v>43000</v>
      </c>
      <c r="C92" s="140" t="s">
        <v>120</v>
      </c>
      <c r="D92" s="141"/>
      <c r="E92" s="142"/>
      <c r="F92" s="130">
        <f t="shared" si="1"/>
        <v>4484</v>
      </c>
    </row>
    <row r="93" spans="1:6" ht="12.75" customHeight="1">
      <c r="A93" s="119"/>
      <c r="B93" s="117">
        <v>43031</v>
      </c>
      <c r="C93" s="140" t="s">
        <v>120</v>
      </c>
      <c r="D93" s="141"/>
      <c r="E93" s="142"/>
      <c r="F93" s="130">
        <f t="shared" si="1"/>
        <v>4484</v>
      </c>
    </row>
    <row r="94" spans="1:6" ht="12.75" customHeight="1">
      <c r="A94" s="119"/>
      <c r="B94" s="117">
        <v>43061</v>
      </c>
      <c r="C94" s="140" t="s">
        <v>120</v>
      </c>
      <c r="D94" s="141"/>
      <c r="E94" s="142"/>
      <c r="F94" s="130">
        <f t="shared" si="1"/>
        <v>4484</v>
      </c>
    </row>
    <row r="95" spans="1:6" ht="12.75" customHeight="1">
      <c r="A95" s="119"/>
      <c r="B95" s="117">
        <v>43083</v>
      </c>
      <c r="C95" s="140" t="s">
        <v>120</v>
      </c>
      <c r="D95" s="141"/>
      <c r="E95" s="142"/>
      <c r="F95" s="130">
        <f t="shared" si="1"/>
        <v>4484</v>
      </c>
    </row>
    <row r="96" spans="1:6" ht="12.75" customHeight="1">
      <c r="A96" s="119"/>
      <c r="B96" s="117">
        <v>42778</v>
      </c>
      <c r="C96" s="140" t="s">
        <v>121</v>
      </c>
      <c r="D96" s="141"/>
      <c r="E96" s="142"/>
      <c r="F96" s="128">
        <v>690</v>
      </c>
    </row>
    <row r="97" spans="1:6" ht="12.75" customHeight="1">
      <c r="A97" s="119"/>
      <c r="B97" s="117">
        <v>42790</v>
      </c>
      <c r="C97" s="140" t="s">
        <v>122</v>
      </c>
      <c r="D97" s="141"/>
      <c r="E97" s="142"/>
      <c r="F97" s="128">
        <v>966</v>
      </c>
    </row>
    <row r="98" spans="1:6" ht="12.75" customHeight="1">
      <c r="A98" s="119"/>
      <c r="B98" s="117">
        <v>43078</v>
      </c>
      <c r="C98" s="140" t="s">
        <v>122</v>
      </c>
      <c r="D98" s="141"/>
      <c r="E98" s="142"/>
      <c r="F98" s="128">
        <v>1184</v>
      </c>
    </row>
    <row r="99" spans="1:6" ht="12.75" customHeight="1">
      <c r="A99" s="119"/>
      <c r="B99" s="117">
        <v>42919</v>
      </c>
      <c r="C99" s="140" t="s">
        <v>123</v>
      </c>
      <c r="D99" s="141"/>
      <c r="E99" s="142"/>
      <c r="F99" s="120">
        <v>2240</v>
      </c>
    </row>
    <row r="100" spans="1:6" ht="12.75" customHeight="1">
      <c r="A100" s="119"/>
      <c r="B100" s="117">
        <v>42971</v>
      </c>
      <c r="C100" s="140" t="s">
        <v>124</v>
      </c>
      <c r="D100" s="141"/>
      <c r="E100" s="142"/>
      <c r="F100" s="119">
        <v>118.02</v>
      </c>
    </row>
    <row r="101" spans="1:6" ht="12.75" customHeight="1">
      <c r="A101" s="119"/>
      <c r="B101" s="117">
        <v>43034</v>
      </c>
      <c r="C101" s="140" t="s">
        <v>125</v>
      </c>
      <c r="D101" s="141"/>
      <c r="E101" s="142"/>
      <c r="F101" s="133">
        <v>2750</v>
      </c>
    </row>
    <row r="102" spans="1:6" ht="12.75" customHeight="1">
      <c r="A102" s="119"/>
      <c r="B102" s="117">
        <v>43046</v>
      </c>
      <c r="C102" s="140" t="s">
        <v>126</v>
      </c>
      <c r="D102" s="141"/>
      <c r="E102" s="142"/>
      <c r="F102" s="133">
        <v>1100</v>
      </c>
    </row>
    <row r="103" spans="1:6" ht="12.75" customHeight="1">
      <c r="A103" s="119"/>
      <c r="B103" s="117">
        <v>43087</v>
      </c>
      <c r="C103" s="140" t="s">
        <v>125</v>
      </c>
      <c r="D103" s="141"/>
      <c r="E103" s="142"/>
      <c r="F103" s="133">
        <v>2200</v>
      </c>
    </row>
    <row r="104" spans="1:6" ht="12.75" customHeight="1">
      <c r="A104" s="119"/>
      <c r="B104" s="117">
        <v>42923</v>
      </c>
      <c r="C104" s="137" t="s">
        <v>127</v>
      </c>
      <c r="D104" s="138"/>
      <c r="E104" s="139"/>
      <c r="F104" s="119">
        <v>3000</v>
      </c>
    </row>
    <row r="105" spans="1:6" ht="12.75" customHeight="1">
      <c r="A105" s="7"/>
      <c r="B105" s="10"/>
      <c r="C105" s="143"/>
      <c r="D105" s="144"/>
      <c r="E105" s="145"/>
      <c r="F105" s="11"/>
    </row>
    <row r="106" spans="1:6" ht="12.75" customHeight="1">
      <c r="A106" s="146" t="s">
        <v>36</v>
      </c>
      <c r="B106" s="146"/>
      <c r="C106" s="146"/>
      <c r="D106" s="146"/>
      <c r="E106" s="146"/>
      <c r="F106" s="36">
        <f>SUM(F50:F105)</f>
        <v>139817.34000000003</v>
      </c>
    </row>
    <row r="107" spans="1:6" ht="12.75" customHeight="1">
      <c r="A107" s="121"/>
      <c r="B107" s="122"/>
      <c r="C107" s="123"/>
      <c r="D107" s="124"/>
      <c r="E107" s="121"/>
      <c r="F107" s="121"/>
    </row>
    <row r="108" spans="1:6" ht="12.75" customHeight="1">
      <c r="A108" s="121"/>
      <c r="B108" s="122"/>
      <c r="C108" s="123"/>
      <c r="D108" s="124"/>
      <c r="E108" s="121"/>
      <c r="F108" s="121"/>
    </row>
    <row r="109" spans="1:6" ht="12.75" customHeight="1">
      <c r="A109" s="121"/>
      <c r="B109" s="122"/>
      <c r="C109" s="123"/>
      <c r="D109" s="124"/>
      <c r="E109" s="121"/>
      <c r="F109" s="129"/>
    </row>
    <row r="110" spans="1:6" ht="12.75" customHeight="1">
      <c r="A110" s="121"/>
      <c r="B110" s="122"/>
      <c r="C110" s="123"/>
      <c r="D110" s="124"/>
      <c r="E110" s="121"/>
      <c r="F110" s="121"/>
    </row>
    <row r="111" spans="1:6" ht="12.75" customHeight="1">
      <c r="A111" s="121"/>
      <c r="B111" s="121"/>
      <c r="C111" s="121"/>
      <c r="D111" s="121"/>
      <c r="E111" s="121"/>
      <c r="F111" s="121"/>
    </row>
    <row r="112" spans="1:6" ht="12.75" customHeight="1">
      <c r="A112" s="121"/>
      <c r="B112" s="121"/>
      <c r="C112" s="121"/>
      <c r="D112" s="121"/>
      <c r="E112" s="121"/>
      <c r="F112" s="121"/>
    </row>
    <row r="113" spans="1:6" ht="12.75" customHeight="1">
      <c r="A113" s="121"/>
      <c r="B113" s="121"/>
      <c r="C113" s="121"/>
      <c r="D113" s="121"/>
      <c r="E113" s="121"/>
      <c r="F113" s="121"/>
    </row>
    <row r="114" spans="1:6" ht="12.75" customHeight="1">
      <c r="A114" s="121"/>
      <c r="B114" s="121"/>
      <c r="C114" s="121"/>
      <c r="D114" s="121"/>
      <c r="E114" s="121"/>
      <c r="F114" s="121"/>
    </row>
    <row r="115" spans="1:6" ht="12.75" customHeight="1">
      <c r="A115" s="121"/>
      <c r="B115" s="121"/>
      <c r="C115" s="121"/>
      <c r="D115" s="121"/>
      <c r="E115" s="121"/>
      <c r="F115" s="121"/>
    </row>
    <row r="116" spans="1:6" ht="12.75" customHeight="1">
      <c r="A116" s="121"/>
      <c r="B116" s="121"/>
      <c r="C116" s="121"/>
      <c r="D116" s="121"/>
      <c r="E116" s="121"/>
      <c r="F116" s="121"/>
    </row>
    <row r="117" spans="1:6" ht="12.75" customHeight="1">
      <c r="A117" s="121"/>
      <c r="B117" s="121"/>
      <c r="C117" s="121"/>
      <c r="D117" s="121"/>
      <c r="E117" s="121"/>
      <c r="F117" s="121"/>
    </row>
    <row r="118" spans="1:6" ht="12.75" customHeight="1">
      <c r="A118" s="121"/>
      <c r="B118" s="121"/>
      <c r="C118" s="121"/>
      <c r="D118" s="121"/>
      <c r="E118" s="121"/>
      <c r="F118" s="121"/>
    </row>
  </sheetData>
  <sheetProtection/>
  <mergeCells count="83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2:E42"/>
    <mergeCell ref="A44:E44"/>
    <mergeCell ref="A45:E45"/>
    <mergeCell ref="A46:E46"/>
    <mergeCell ref="C49:E49"/>
    <mergeCell ref="B39:E39"/>
    <mergeCell ref="B40:E40"/>
    <mergeCell ref="B41:E41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105:E105"/>
    <mergeCell ref="A106:E106"/>
    <mergeCell ref="C90:E90"/>
    <mergeCell ref="C91:E91"/>
    <mergeCell ref="C92:E92"/>
    <mergeCell ref="C93:E93"/>
    <mergeCell ref="C98:E98"/>
    <mergeCell ref="C99:E99"/>
    <mergeCell ref="C82:E82"/>
    <mergeCell ref="C84:E84"/>
    <mergeCell ref="C85:E85"/>
    <mergeCell ref="C86:E86"/>
    <mergeCell ref="C87:E87"/>
    <mergeCell ref="C88:E88"/>
    <mergeCell ref="C89:E89"/>
    <mergeCell ref="C50:E50"/>
    <mergeCell ref="C104:E104"/>
    <mergeCell ref="C100:E100"/>
    <mergeCell ref="C101:E101"/>
    <mergeCell ref="C102:E102"/>
    <mergeCell ref="C103:E103"/>
    <mergeCell ref="C94:E94"/>
    <mergeCell ref="C95:E95"/>
    <mergeCell ref="C96:E96"/>
    <mergeCell ref="C97:E9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5"/>
  <sheetViews>
    <sheetView view="pageBreakPreview" zoomScaleSheetLayoutView="100" zoomScalePageLayoutView="0" workbookViewId="0" topLeftCell="A3">
      <selection activeCell="D9" sqref="D9"/>
    </sheetView>
  </sheetViews>
  <sheetFormatPr defaultColWidth="9.140625" defaultRowHeight="12.75" outlineLevelRow="1"/>
  <cols>
    <col min="1" max="1" width="4.421875" style="99" customWidth="1"/>
    <col min="2" max="2" width="17.00390625" style="8" customWidth="1"/>
    <col min="3" max="3" width="15.57421875" style="8" customWidth="1"/>
    <col min="4" max="4" width="13.57421875" style="8" customWidth="1"/>
    <col min="5" max="5" width="19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61" t="s">
        <v>82</v>
      </c>
      <c r="B1" s="161"/>
      <c r="C1" s="161"/>
      <c r="D1" s="161"/>
      <c r="E1" s="161"/>
      <c r="F1" s="161"/>
      <c r="G1" s="96"/>
    </row>
    <row r="2" spans="1:8" ht="15.75">
      <c r="A2" s="161" t="s">
        <v>49</v>
      </c>
      <c r="B2" s="161"/>
      <c r="C2" s="161"/>
      <c r="D2" s="161"/>
      <c r="E2" s="161"/>
      <c r="F2" s="161"/>
      <c r="G2" s="15"/>
      <c r="H2" s="16"/>
    </row>
    <row r="3" ht="9" customHeight="1"/>
    <row r="4" spans="1:6" ht="15.75" hidden="1" outlineLevel="1">
      <c r="A4" s="100" t="s">
        <v>96</v>
      </c>
      <c r="C4" s="18"/>
      <c r="D4" s="18"/>
      <c r="E4" s="18"/>
      <c r="F4" s="18"/>
    </row>
    <row r="5" spans="1:6" ht="15.75" hidden="1" outlineLevel="1">
      <c r="A5" s="100" t="s">
        <v>14</v>
      </c>
      <c r="C5" s="18"/>
      <c r="D5" s="18">
        <v>3735.9</v>
      </c>
      <c r="E5" s="18" t="s">
        <v>15</v>
      </c>
      <c r="F5" s="18"/>
    </row>
    <row r="6" ht="9" customHeight="1" collapsed="1"/>
    <row r="7" spans="1:6" ht="15.75">
      <c r="A7" s="101" t="s">
        <v>83</v>
      </c>
      <c r="C7" s="15"/>
      <c r="D7" s="19">
        <f>'2015 (с марта)'!F38</f>
        <v>77076.26000000001</v>
      </c>
      <c r="E7" s="15" t="s">
        <v>19</v>
      </c>
      <c r="F7" s="15"/>
    </row>
    <row r="8" spans="1:6" ht="15.75">
      <c r="A8" s="101" t="s">
        <v>84</v>
      </c>
      <c r="C8" s="18"/>
      <c r="D8" s="20">
        <f>C16</f>
        <v>-123825.94999999997</v>
      </c>
      <c r="E8" s="18" t="s">
        <v>18</v>
      </c>
      <c r="F8" s="18"/>
    </row>
    <row r="9" spans="2:6" ht="15.75">
      <c r="B9" s="18"/>
      <c r="C9" s="18"/>
      <c r="D9" s="18"/>
      <c r="E9" s="18"/>
      <c r="F9" s="21" t="s">
        <v>19</v>
      </c>
    </row>
    <row r="10" spans="1:6" s="17" customFormat="1" ht="28.5" customHeight="1">
      <c r="A10" s="102" t="s">
        <v>20</v>
      </c>
      <c r="B10" s="22" t="s">
        <v>21</v>
      </c>
      <c r="C10" s="23" t="s">
        <v>85</v>
      </c>
      <c r="D10" s="23" t="s">
        <v>0</v>
      </c>
      <c r="E10" s="23" t="s">
        <v>23</v>
      </c>
      <c r="F10" s="23" t="s">
        <v>86</v>
      </c>
    </row>
    <row r="11" spans="1:9" s="26" customFormat="1" ht="30" customHeight="1">
      <c r="A11" s="102">
        <v>1</v>
      </c>
      <c r="B11" s="24" t="s">
        <v>1</v>
      </c>
      <c r="C11" s="9">
        <f>'2015 (с марта)'!F11</f>
        <v>-77559.01999999999</v>
      </c>
      <c r="D11" s="9">
        <f>354235.97+32091.39-3169.7-45077.72+44795.9</f>
        <v>382875.83999999997</v>
      </c>
      <c r="E11" s="9">
        <v>383547.57</v>
      </c>
      <c r="F11" s="9">
        <f>C11-D11+E11</f>
        <v>-76887.28999999998</v>
      </c>
      <c r="G11" s="8" t="s">
        <v>43</v>
      </c>
      <c r="H11" s="8">
        <v>8.59</v>
      </c>
      <c r="I11" s="39">
        <f>H11*12*H20</f>
        <v>385096.572</v>
      </c>
    </row>
    <row r="12" spans="1:9" s="26" customFormat="1" ht="30" customHeight="1">
      <c r="A12" s="102">
        <v>2</v>
      </c>
      <c r="B12" s="24" t="s">
        <v>2</v>
      </c>
      <c r="C12" s="9">
        <f>'2015 (с марта)'!F12</f>
        <v>-16207.709999999992</v>
      </c>
      <c r="D12" s="9">
        <f>6649.91+9282.56+73404.02-656.8-9355.82</f>
        <v>79323.87</v>
      </c>
      <c r="E12" s="9">
        <v>79599.11</v>
      </c>
      <c r="F12" s="9">
        <f>C12-D12+E12</f>
        <v>-15932.469999999987</v>
      </c>
      <c r="G12" s="18" t="s">
        <v>44</v>
      </c>
      <c r="H12" s="8">
        <v>3.34</v>
      </c>
      <c r="I12" s="38">
        <f>H12*12*H20</f>
        <v>149734.872</v>
      </c>
    </row>
    <row r="13" spans="1:9" s="26" customFormat="1" ht="29.25" customHeight="1">
      <c r="A13" s="102">
        <v>3</v>
      </c>
      <c r="B13" s="24" t="s">
        <v>3</v>
      </c>
      <c r="C13" s="9">
        <f>'2015 (с марта)'!F13</f>
        <v>-11745.93</v>
      </c>
      <c r="D13" s="9">
        <f>53197.53-476.04-6773.67+4819.32+6727.14</f>
        <v>57494.28</v>
      </c>
      <c r="E13" s="9">
        <v>57693.75</v>
      </c>
      <c r="F13" s="9">
        <f>C13-D13+E13</f>
        <v>-11546.459999999992</v>
      </c>
      <c r="G13" s="18" t="s">
        <v>45</v>
      </c>
      <c r="H13" s="8">
        <f>2.02</f>
        <v>2.02</v>
      </c>
      <c r="I13" s="38">
        <f>H13*12*H20</f>
        <v>90558.21600000001</v>
      </c>
    </row>
    <row r="14" spans="1:9" s="26" customFormat="1" ht="30" customHeight="1">
      <c r="A14" s="102">
        <v>4</v>
      </c>
      <c r="B14" s="24" t="s">
        <v>4</v>
      </c>
      <c r="C14" s="9">
        <f>'2015 (с марта)'!F14</f>
        <v>-3914.6800000000003</v>
      </c>
      <c r="D14" s="9">
        <f>27854.78-164.99+164.99-3139.73+3123.53</f>
        <v>27838.579999999998</v>
      </c>
      <c r="E14" s="9">
        <v>28629.73</v>
      </c>
      <c r="F14" s="9">
        <f>C14-D14+E14</f>
        <v>-3123.529999999999</v>
      </c>
      <c r="G14" s="8" t="s">
        <v>46</v>
      </c>
      <c r="H14" s="8">
        <v>1.29</v>
      </c>
      <c r="I14" s="39">
        <f>H14*12*H20</f>
        <v>57831.732</v>
      </c>
    </row>
    <row r="15" spans="1:8" s="26" customFormat="1" ht="30" customHeight="1">
      <c r="A15" s="102">
        <v>5</v>
      </c>
      <c r="B15" s="24" t="s">
        <v>47</v>
      </c>
      <c r="C15" s="9">
        <f>'2015 (с марта)'!F15</f>
        <v>-14398.61</v>
      </c>
      <c r="D15" s="9">
        <f>5126.37+7333.78+56397.21-63.6-7391.86</f>
        <v>61401.899999999994</v>
      </c>
      <c r="E15" s="9">
        <v>63340.36</v>
      </c>
      <c r="F15" s="9">
        <f>C15-D15+E15</f>
        <v>-12460.149999999994</v>
      </c>
      <c r="G15" s="25"/>
      <c r="H15" s="25"/>
    </row>
    <row r="16" spans="1:6" ht="26.25" customHeight="1">
      <c r="A16" s="102"/>
      <c r="B16" s="24" t="s">
        <v>5</v>
      </c>
      <c r="C16" s="9">
        <f>SUM(C11:C15)</f>
        <v>-123825.94999999997</v>
      </c>
      <c r="D16" s="9">
        <f>SUM(D11:D15)</f>
        <v>608934.47</v>
      </c>
      <c r="E16" s="9">
        <f>SUM(E11:E15)</f>
        <v>612810.52</v>
      </c>
      <c r="F16" s="9">
        <f>SUM(F11:F15)</f>
        <v>-119949.89999999995</v>
      </c>
    </row>
    <row r="17" ht="11.25" customHeight="1"/>
    <row r="18" spans="1:6" ht="15.75">
      <c r="A18" s="161" t="s">
        <v>24</v>
      </c>
      <c r="B18" s="161"/>
      <c r="C18" s="161"/>
      <c r="D18" s="161"/>
      <c r="E18" s="161"/>
      <c r="F18" s="161"/>
    </row>
    <row r="19" spans="1:8" ht="15.75">
      <c r="A19" s="103"/>
      <c r="B19" s="96"/>
      <c r="C19" s="96"/>
      <c r="D19" s="96"/>
      <c r="E19" s="96"/>
      <c r="F19" s="96"/>
      <c r="H19" s="8" t="s">
        <v>25</v>
      </c>
    </row>
    <row r="20" spans="1:8" ht="33" customHeight="1">
      <c r="A20" s="104" t="s">
        <v>42</v>
      </c>
      <c r="B20" s="162" t="s">
        <v>72</v>
      </c>
      <c r="C20" s="162"/>
      <c r="D20" s="162"/>
      <c r="E20" s="162"/>
      <c r="F20" s="27" t="s">
        <v>13</v>
      </c>
      <c r="G20" s="28"/>
      <c r="H20" s="8">
        <f>D5</f>
        <v>3735.9</v>
      </c>
    </row>
    <row r="21" spans="1:10" ht="18" customHeight="1">
      <c r="A21" s="105">
        <v>1</v>
      </c>
      <c r="B21" s="163" t="s">
        <v>7</v>
      </c>
      <c r="C21" s="163"/>
      <c r="D21" s="163"/>
      <c r="E21" s="163"/>
      <c r="F21" s="4">
        <f>I12</f>
        <v>149734.872</v>
      </c>
      <c r="G21" s="30"/>
      <c r="H21" s="8" t="s">
        <v>26</v>
      </c>
      <c r="I21" s="22" t="s">
        <v>27</v>
      </c>
      <c r="J21" s="22" t="s">
        <v>28</v>
      </c>
    </row>
    <row r="22" spans="1:10" ht="18" customHeight="1">
      <c r="A22" s="106">
        <v>2</v>
      </c>
      <c r="B22" s="160" t="s">
        <v>29</v>
      </c>
      <c r="C22" s="160"/>
      <c r="D22" s="160"/>
      <c r="E22" s="160"/>
      <c r="F22" s="5">
        <f>I13</f>
        <v>90558.21600000001</v>
      </c>
      <c r="G22" s="30"/>
      <c r="I22" s="88">
        <f>7498.27/(3760.1+1865.12)*H20</f>
        <v>4979.8562354894575</v>
      </c>
      <c r="J22" s="88">
        <f>5967.69/(1689.82+3760.1)*H20</f>
        <v>4090.8294196979036</v>
      </c>
    </row>
    <row r="23" spans="1:10" ht="18" customHeight="1">
      <c r="A23" s="106">
        <v>3</v>
      </c>
      <c r="B23" s="160" t="s">
        <v>30</v>
      </c>
      <c r="C23" s="160"/>
      <c r="D23" s="160"/>
      <c r="E23" s="160"/>
      <c r="F23" s="5">
        <f>I14</f>
        <v>57831.732</v>
      </c>
      <c r="G23" s="30"/>
      <c r="I23" s="88">
        <f>I22*12</f>
        <v>59758.274825873494</v>
      </c>
      <c r="J23" s="88">
        <f>J22*12</f>
        <v>49089.95303637484</v>
      </c>
    </row>
    <row r="24" spans="1:7" ht="18" customHeight="1">
      <c r="A24" s="106">
        <v>4</v>
      </c>
      <c r="B24" s="160" t="s">
        <v>9</v>
      </c>
      <c r="C24" s="160"/>
      <c r="D24" s="160"/>
      <c r="E24" s="160"/>
      <c r="F24" s="5">
        <f>F25+F26+F27+F28</f>
        <v>14091</v>
      </c>
      <c r="G24" s="90"/>
    </row>
    <row r="25" spans="1:7" ht="18" customHeight="1">
      <c r="A25" s="106" t="s">
        <v>10</v>
      </c>
      <c r="B25" s="160" t="s">
        <v>31</v>
      </c>
      <c r="C25" s="160"/>
      <c r="D25" s="160"/>
      <c r="E25" s="160"/>
      <c r="F25" s="6">
        <f>F47+F50+F53</f>
        <v>1802</v>
      </c>
      <c r="G25" s="30"/>
    </row>
    <row r="26" spans="1:7" ht="16.5" customHeight="1">
      <c r="A26" s="106" t="s">
        <v>10</v>
      </c>
      <c r="B26" s="160" t="s">
        <v>32</v>
      </c>
      <c r="C26" s="160"/>
      <c r="D26" s="160"/>
      <c r="E26" s="160"/>
      <c r="F26" s="6">
        <f>F46+F51+F52+F54</f>
        <v>5049</v>
      </c>
      <c r="G26" s="18"/>
    </row>
    <row r="27" spans="1:9" ht="16.5" customHeight="1">
      <c r="A27" s="106" t="s">
        <v>10</v>
      </c>
      <c r="B27" s="160" t="s">
        <v>97</v>
      </c>
      <c r="C27" s="160"/>
      <c r="D27" s="160"/>
      <c r="E27" s="160"/>
      <c r="F27" s="6">
        <f>F48</f>
        <v>5200</v>
      </c>
      <c r="G27" s="18"/>
      <c r="I27" s="87"/>
    </row>
    <row r="28" spans="1:7" ht="16.5" customHeight="1">
      <c r="A28" s="106" t="s">
        <v>10</v>
      </c>
      <c r="B28" s="160" t="s">
        <v>74</v>
      </c>
      <c r="C28" s="160"/>
      <c r="D28" s="160"/>
      <c r="E28" s="160"/>
      <c r="F28" s="6">
        <f>F44</f>
        <v>2040</v>
      </c>
      <c r="G28" s="18"/>
    </row>
    <row r="29" spans="1:7" ht="17.25" customHeight="1">
      <c r="A29" s="106">
        <v>5</v>
      </c>
      <c r="B29" s="159" t="s">
        <v>48</v>
      </c>
      <c r="C29" s="159"/>
      <c r="D29" s="159"/>
      <c r="E29" s="159"/>
      <c r="F29" s="6">
        <f>D15</f>
        <v>61401.899999999994</v>
      </c>
      <c r="G29" s="18"/>
    </row>
    <row r="30" spans="1:7" ht="17.25" customHeight="1">
      <c r="A30" s="106">
        <v>6</v>
      </c>
      <c r="B30" s="159" t="s">
        <v>76</v>
      </c>
      <c r="C30" s="159"/>
      <c r="D30" s="159"/>
      <c r="E30" s="159"/>
      <c r="F30" s="6">
        <f>F45</f>
        <v>1050</v>
      </c>
      <c r="G30" s="18"/>
    </row>
    <row r="31" spans="1:7" ht="17.25" customHeight="1">
      <c r="A31" s="106">
        <v>7</v>
      </c>
      <c r="B31" s="159" t="s">
        <v>68</v>
      </c>
      <c r="C31" s="159"/>
      <c r="D31" s="159"/>
      <c r="E31" s="159"/>
      <c r="F31" s="6">
        <f>F49</f>
        <v>690</v>
      </c>
      <c r="G31" s="18"/>
    </row>
    <row r="32" spans="1:7" ht="17.25" customHeight="1">
      <c r="A32" s="106">
        <v>8</v>
      </c>
      <c r="B32" s="159" t="s">
        <v>2</v>
      </c>
      <c r="C32" s="159"/>
      <c r="D32" s="159"/>
      <c r="E32" s="159"/>
      <c r="F32" s="6">
        <f>D12</f>
        <v>79323.87</v>
      </c>
      <c r="G32" s="18"/>
    </row>
    <row r="33" spans="1:7" s="34" customFormat="1" ht="15.75">
      <c r="A33" s="106">
        <v>9</v>
      </c>
      <c r="B33" s="159" t="s">
        <v>4</v>
      </c>
      <c r="C33" s="159"/>
      <c r="D33" s="159"/>
      <c r="E33" s="159"/>
      <c r="F33" s="6">
        <f>D14</f>
        <v>27838.579999999998</v>
      </c>
      <c r="G33" s="15"/>
    </row>
    <row r="34" spans="1:7" s="34" customFormat="1" ht="15.75">
      <c r="A34" s="106">
        <v>10</v>
      </c>
      <c r="B34" s="147" t="s">
        <v>81</v>
      </c>
      <c r="C34" s="148"/>
      <c r="D34" s="148"/>
      <c r="E34" s="149"/>
      <c r="F34" s="6">
        <v>607.56</v>
      </c>
      <c r="G34" s="15"/>
    </row>
    <row r="35" spans="1:7" s="34" customFormat="1" ht="15.75">
      <c r="A35" s="106">
        <v>11</v>
      </c>
      <c r="B35" s="147" t="s">
        <v>8</v>
      </c>
      <c r="C35" s="148"/>
      <c r="D35" s="148"/>
      <c r="E35" s="149"/>
      <c r="F35" s="6">
        <f>0.21*12*H20</f>
        <v>9414.468</v>
      </c>
      <c r="G35" s="15"/>
    </row>
    <row r="36" spans="1:6" ht="19.5" customHeight="1">
      <c r="A36" s="107"/>
      <c r="B36" s="150" t="s">
        <v>11</v>
      </c>
      <c r="C36" s="150"/>
      <c r="D36" s="150"/>
      <c r="E36" s="150"/>
      <c r="F36" s="33">
        <f>F21+F22+F23+F24+F32+F33+F31+F29+F30+F34+F35</f>
        <v>492542.19800000003</v>
      </c>
    </row>
    <row r="37" ht="18" customHeight="1"/>
    <row r="38" spans="1:6" ht="20.25" customHeight="1">
      <c r="A38" s="151" t="s">
        <v>87</v>
      </c>
      <c r="B38" s="152"/>
      <c r="C38" s="152"/>
      <c r="D38" s="152"/>
      <c r="E38" s="153"/>
      <c r="F38" s="6">
        <f>D16-F36+D7</f>
        <v>193468.53199999995</v>
      </c>
    </row>
    <row r="39" spans="1:6" ht="18" customHeight="1">
      <c r="A39" s="154" t="s">
        <v>88</v>
      </c>
      <c r="B39" s="154"/>
      <c r="C39" s="154"/>
      <c r="D39" s="154"/>
      <c r="E39" s="154"/>
      <c r="F39" s="6">
        <f>F16</f>
        <v>-119949.89999999995</v>
      </c>
    </row>
    <row r="40" spans="1:6" ht="19.5" customHeight="1">
      <c r="A40" s="155" t="s">
        <v>64</v>
      </c>
      <c r="B40" s="155"/>
      <c r="C40" s="155"/>
      <c r="D40" s="155"/>
      <c r="E40" s="155"/>
      <c r="F40" s="6">
        <f>F38+F39</f>
        <v>73518.632</v>
      </c>
    </row>
    <row r="42" spans="1:6" s="41" customFormat="1" ht="15.75">
      <c r="A42" s="99"/>
      <c r="B42" s="8"/>
      <c r="C42" s="8"/>
      <c r="D42" s="8"/>
      <c r="E42" s="8"/>
      <c r="F42" s="8"/>
    </row>
    <row r="43" spans="1:6" s="43" customFormat="1" ht="15.75">
      <c r="A43" s="108" t="s">
        <v>20</v>
      </c>
      <c r="B43" s="35" t="s">
        <v>12</v>
      </c>
      <c r="C43" s="156" t="s">
        <v>34</v>
      </c>
      <c r="D43" s="157"/>
      <c r="E43" s="158"/>
      <c r="F43" s="35" t="s">
        <v>35</v>
      </c>
    </row>
    <row r="44" spans="1:7" s="46" customFormat="1" ht="32.25" customHeight="1">
      <c r="A44" s="109">
        <v>1</v>
      </c>
      <c r="B44" s="55" t="s">
        <v>69</v>
      </c>
      <c r="C44" s="134" t="s">
        <v>79</v>
      </c>
      <c r="D44" s="135"/>
      <c r="E44" s="136"/>
      <c r="F44" s="56">
        <f>12*170</f>
        <v>2040</v>
      </c>
      <c r="G44" s="78"/>
    </row>
    <row r="45" spans="1:7" s="46" customFormat="1" ht="18.75" customHeight="1">
      <c r="A45" s="109">
        <v>2</v>
      </c>
      <c r="B45" s="110">
        <v>42406</v>
      </c>
      <c r="C45" s="167" t="s">
        <v>89</v>
      </c>
      <c r="D45" s="168"/>
      <c r="E45" s="169"/>
      <c r="F45" s="97">
        <v>1050</v>
      </c>
      <c r="G45" s="45"/>
    </row>
    <row r="46" spans="1:6" s="52" customFormat="1" ht="18.75" customHeight="1">
      <c r="A46" s="109">
        <v>3</v>
      </c>
      <c r="B46" s="110">
        <v>42502</v>
      </c>
      <c r="C46" s="167" t="s">
        <v>90</v>
      </c>
      <c r="D46" s="168"/>
      <c r="E46" s="169"/>
      <c r="F46" s="98">
        <v>1562</v>
      </c>
    </row>
    <row r="47" spans="1:6" s="50" customFormat="1" ht="18.75" customHeight="1">
      <c r="A47" s="109">
        <v>5</v>
      </c>
      <c r="B47" s="110">
        <v>42555</v>
      </c>
      <c r="C47" s="164" t="s">
        <v>91</v>
      </c>
      <c r="D47" s="165"/>
      <c r="E47" s="166"/>
      <c r="F47" s="98">
        <v>377</v>
      </c>
    </row>
    <row r="48" spans="1:6" s="50" customFormat="1" ht="18.75" customHeight="1">
      <c r="A48" s="109">
        <v>6</v>
      </c>
      <c r="B48" s="110">
        <v>42562</v>
      </c>
      <c r="C48" s="164" t="s">
        <v>92</v>
      </c>
      <c r="D48" s="165"/>
      <c r="E48" s="166"/>
      <c r="F48" s="98">
        <v>5200</v>
      </c>
    </row>
    <row r="49" spans="1:6" s="54" customFormat="1" ht="18.75" customHeight="1">
      <c r="A49" s="109">
        <v>9</v>
      </c>
      <c r="B49" s="110">
        <v>42615</v>
      </c>
      <c r="C49" s="164" t="s">
        <v>93</v>
      </c>
      <c r="D49" s="165"/>
      <c r="E49" s="166"/>
      <c r="F49" s="98">
        <v>690</v>
      </c>
    </row>
    <row r="50" spans="1:6" s="75" customFormat="1" ht="18.75" customHeight="1">
      <c r="A50" s="109">
        <v>10</v>
      </c>
      <c r="B50" s="110">
        <v>42635</v>
      </c>
      <c r="C50" s="164" t="s">
        <v>91</v>
      </c>
      <c r="D50" s="165"/>
      <c r="E50" s="166"/>
      <c r="F50" s="98">
        <v>654</v>
      </c>
    </row>
    <row r="51" spans="1:6" s="75" customFormat="1" ht="18.75" customHeight="1">
      <c r="A51" s="109">
        <v>11</v>
      </c>
      <c r="B51" s="110">
        <v>42682</v>
      </c>
      <c r="C51" s="164" t="s">
        <v>94</v>
      </c>
      <c r="D51" s="165"/>
      <c r="E51" s="166"/>
      <c r="F51" s="98">
        <v>1070</v>
      </c>
    </row>
    <row r="52" spans="1:6" s="82" customFormat="1" ht="18.75" customHeight="1">
      <c r="A52" s="109">
        <v>12</v>
      </c>
      <c r="B52" s="110">
        <v>42683</v>
      </c>
      <c r="C52" s="164" t="s">
        <v>94</v>
      </c>
      <c r="D52" s="165"/>
      <c r="E52" s="166"/>
      <c r="F52" s="98">
        <v>1623</v>
      </c>
    </row>
    <row r="53" spans="1:6" ht="18.75" customHeight="1">
      <c r="A53" s="109">
        <v>13</v>
      </c>
      <c r="B53" s="110">
        <v>42698</v>
      </c>
      <c r="C53" s="164" t="s">
        <v>98</v>
      </c>
      <c r="D53" s="165"/>
      <c r="E53" s="166"/>
      <c r="F53" s="98">
        <v>771</v>
      </c>
    </row>
    <row r="54" spans="1:6" ht="18.75" customHeight="1">
      <c r="A54" s="109">
        <v>14</v>
      </c>
      <c r="B54" s="110">
        <v>42720</v>
      </c>
      <c r="C54" s="164" t="s">
        <v>95</v>
      </c>
      <c r="D54" s="165"/>
      <c r="E54" s="166"/>
      <c r="F54" s="98">
        <v>794</v>
      </c>
    </row>
    <row r="55" spans="1:6" ht="15.75">
      <c r="A55" s="146" t="s">
        <v>36</v>
      </c>
      <c r="B55" s="146"/>
      <c r="C55" s="146"/>
      <c r="D55" s="146"/>
      <c r="E55" s="146"/>
      <c r="F55" s="36">
        <f>SUM(F44:F54)</f>
        <v>15831</v>
      </c>
    </row>
  </sheetData>
  <sheetProtection selectLockedCells="1" selectUnlockedCells="1"/>
  <mergeCells count="36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38:E38"/>
    <mergeCell ref="B29:E29"/>
    <mergeCell ref="B30:E30"/>
    <mergeCell ref="B31:E31"/>
    <mergeCell ref="B32:E32"/>
    <mergeCell ref="B33:E33"/>
    <mergeCell ref="B35:E35"/>
    <mergeCell ref="C45:E45"/>
    <mergeCell ref="C46:E46"/>
    <mergeCell ref="C47:E47"/>
    <mergeCell ref="C48:E48"/>
    <mergeCell ref="B34:E34"/>
    <mergeCell ref="B36:E36"/>
    <mergeCell ref="A39:E39"/>
    <mergeCell ref="A40:E40"/>
    <mergeCell ref="C43:E43"/>
    <mergeCell ref="C44:E44"/>
    <mergeCell ref="A55:E55"/>
    <mergeCell ref="C49:E49"/>
    <mergeCell ref="C50:E50"/>
    <mergeCell ref="C51:E51"/>
    <mergeCell ref="C52:E52"/>
    <mergeCell ref="C54:E54"/>
    <mergeCell ref="C53:E5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2"/>
  <sheetViews>
    <sheetView view="pageBreakPreview" zoomScaleSheetLayoutView="100" zoomScalePageLayoutView="0" workbookViewId="0" topLeftCell="A3">
      <selection activeCell="E14" sqref="E14"/>
    </sheetView>
  </sheetViews>
  <sheetFormatPr defaultColWidth="9.140625" defaultRowHeight="12.75" outlineLevelRow="1"/>
  <cols>
    <col min="1" max="1" width="4.421875" style="17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61" t="s">
        <v>37</v>
      </c>
      <c r="B1" s="161"/>
      <c r="C1" s="161"/>
      <c r="D1" s="161"/>
      <c r="E1" s="161"/>
      <c r="F1" s="161"/>
      <c r="G1" s="89"/>
    </row>
    <row r="2" spans="1:8" ht="15.75">
      <c r="A2" s="161" t="s">
        <v>49</v>
      </c>
      <c r="B2" s="161"/>
      <c r="C2" s="161"/>
      <c r="D2" s="161"/>
      <c r="E2" s="161"/>
      <c r="F2" s="161"/>
      <c r="G2" s="15"/>
      <c r="H2" s="16"/>
    </row>
    <row r="3" ht="9" customHeight="1"/>
    <row r="4" spans="1:6" ht="15.75" hidden="1" outlineLevel="1">
      <c r="A4" s="18" t="s">
        <v>50</v>
      </c>
      <c r="C4" s="18"/>
      <c r="D4" s="18"/>
      <c r="E4" s="18"/>
      <c r="F4" s="18"/>
    </row>
    <row r="5" spans="1:6" ht="15.75" hidden="1" outlineLevel="1">
      <c r="A5" s="18" t="s">
        <v>14</v>
      </c>
      <c r="C5" s="18"/>
      <c r="D5" s="18">
        <v>3757.2</v>
      </c>
      <c r="E5" s="18" t="s">
        <v>15</v>
      </c>
      <c r="F5" s="18"/>
    </row>
    <row r="6" ht="9" customHeight="1" collapsed="1"/>
    <row r="7" spans="1:6" ht="15.75">
      <c r="A7" s="15" t="s">
        <v>65</v>
      </c>
      <c r="C7" s="15"/>
      <c r="D7" s="19">
        <v>0</v>
      </c>
      <c r="E7" s="15" t="s">
        <v>19</v>
      </c>
      <c r="F7" s="15"/>
    </row>
    <row r="8" spans="1:6" ht="15.75">
      <c r="A8" s="15" t="s">
        <v>66</v>
      </c>
      <c r="C8" s="18"/>
      <c r="D8" s="20">
        <v>0</v>
      </c>
      <c r="E8" s="18" t="s">
        <v>18</v>
      </c>
      <c r="F8" s="18"/>
    </row>
    <row r="9" spans="2:6" ht="15.75">
      <c r="B9" s="18"/>
      <c r="C9" s="18"/>
      <c r="D9" s="18"/>
      <c r="E9" s="18"/>
      <c r="F9" s="21" t="s">
        <v>19</v>
      </c>
    </row>
    <row r="10" spans="1:6" s="17" customFormat="1" ht="28.5" customHeight="1">
      <c r="A10" s="7" t="s">
        <v>20</v>
      </c>
      <c r="B10" s="22" t="s">
        <v>21</v>
      </c>
      <c r="C10" s="23" t="s">
        <v>67</v>
      </c>
      <c r="D10" s="23" t="s">
        <v>0</v>
      </c>
      <c r="E10" s="23" t="s">
        <v>23</v>
      </c>
      <c r="F10" s="23" t="s">
        <v>40</v>
      </c>
    </row>
    <row r="11" spans="1:9" s="26" customFormat="1" ht="30" customHeight="1">
      <c r="A11" s="7">
        <v>1</v>
      </c>
      <c r="B11" s="24" t="s">
        <v>1</v>
      </c>
      <c r="C11" s="9">
        <v>0</v>
      </c>
      <c r="D11" s="9">
        <v>321878.05</v>
      </c>
      <c r="E11" s="9">
        <v>244319.03</v>
      </c>
      <c r="F11" s="9">
        <f>C11-D11+E11</f>
        <v>-77559.01999999999</v>
      </c>
      <c r="G11" s="8" t="s">
        <v>43</v>
      </c>
      <c r="H11" s="8">
        <v>8.59</v>
      </c>
      <c r="I11" s="39">
        <f>H11*10*H20</f>
        <v>322743.48</v>
      </c>
    </row>
    <row r="12" spans="1:9" s="26" customFormat="1" ht="30" customHeight="1">
      <c r="A12" s="7">
        <v>2</v>
      </c>
      <c r="B12" s="24" t="s">
        <v>2</v>
      </c>
      <c r="C12" s="9">
        <v>0</v>
      </c>
      <c r="D12" s="9">
        <v>67054.04</v>
      </c>
      <c r="E12" s="9">
        <v>50846.33</v>
      </c>
      <c r="F12" s="9">
        <f>C12-D12+E12</f>
        <v>-16207.709999999992</v>
      </c>
      <c r="G12" s="18" t="s">
        <v>44</v>
      </c>
      <c r="H12" s="8">
        <v>3.34</v>
      </c>
      <c r="I12" s="38">
        <f>H12*10*H20</f>
        <v>125490.47999999998</v>
      </c>
    </row>
    <row r="13" spans="1:9" s="26" customFormat="1" ht="29.25" customHeight="1">
      <c r="A13" s="7">
        <v>3</v>
      </c>
      <c r="B13" s="24" t="s">
        <v>3</v>
      </c>
      <c r="C13" s="9">
        <v>0</v>
      </c>
      <c r="D13" s="9">
        <v>48595.58</v>
      </c>
      <c r="E13" s="9">
        <v>36849.65</v>
      </c>
      <c r="F13" s="9">
        <f>C13-D13+E13</f>
        <v>-11745.93</v>
      </c>
      <c r="G13" s="18" t="s">
        <v>45</v>
      </c>
      <c r="H13" s="8">
        <f>2.09</f>
        <v>2.09</v>
      </c>
      <c r="I13" s="38">
        <f>H13*10*H20</f>
        <v>78525.48</v>
      </c>
    </row>
    <row r="14" spans="1:9" s="26" customFormat="1" ht="30" customHeight="1">
      <c r="A14" s="7">
        <v>4</v>
      </c>
      <c r="B14" s="24" t="s">
        <v>4</v>
      </c>
      <c r="C14" s="9">
        <v>0</v>
      </c>
      <c r="D14" s="9">
        <v>12859.16</v>
      </c>
      <c r="E14" s="9">
        <v>8944.48</v>
      </c>
      <c r="F14" s="9">
        <f>C14-D14+E14</f>
        <v>-3914.6800000000003</v>
      </c>
      <c r="G14" s="8" t="s">
        <v>46</v>
      </c>
      <c r="H14" s="8">
        <v>1.29</v>
      </c>
      <c r="I14" s="39">
        <f>H14*10*H20</f>
        <v>48467.88</v>
      </c>
    </row>
    <row r="15" spans="1:8" s="26" customFormat="1" ht="30" customHeight="1">
      <c r="A15" s="7">
        <v>5</v>
      </c>
      <c r="B15" s="24" t="s">
        <v>47</v>
      </c>
      <c r="C15" s="9">
        <v>0</v>
      </c>
      <c r="D15" s="9">
        <v>53069.93</v>
      </c>
      <c r="E15" s="9">
        <v>38671.32</v>
      </c>
      <c r="F15" s="9">
        <f>C15-D15+E15</f>
        <v>-14398.61</v>
      </c>
      <c r="G15" s="25"/>
      <c r="H15" s="25"/>
    </row>
    <row r="16" spans="1:6" ht="26.25" customHeight="1">
      <c r="A16" s="7"/>
      <c r="B16" s="24" t="s">
        <v>5</v>
      </c>
      <c r="C16" s="9">
        <f>SUM(C11:C15)</f>
        <v>0</v>
      </c>
      <c r="D16" s="9">
        <f>SUM(D11:D15)</f>
        <v>503456.75999999995</v>
      </c>
      <c r="E16" s="9">
        <f>SUM(E11:E15)</f>
        <v>379630.81</v>
      </c>
      <c r="F16" s="9">
        <f>SUM(F11:F15)</f>
        <v>-123825.94999999997</v>
      </c>
    </row>
    <row r="17" ht="11.25" customHeight="1"/>
    <row r="18" spans="1:6" ht="15.75">
      <c r="A18" s="161" t="s">
        <v>24</v>
      </c>
      <c r="B18" s="161"/>
      <c r="C18" s="161"/>
      <c r="D18" s="161"/>
      <c r="E18" s="161"/>
      <c r="F18" s="161"/>
    </row>
    <row r="19" spans="1:8" ht="15.75">
      <c r="A19" s="89"/>
      <c r="B19" s="89"/>
      <c r="C19" s="89"/>
      <c r="D19" s="89"/>
      <c r="E19" s="89"/>
      <c r="F19" s="89"/>
      <c r="H19" s="8" t="s">
        <v>25</v>
      </c>
    </row>
    <row r="20" spans="1:8" ht="33" customHeight="1">
      <c r="A20" s="23" t="s">
        <v>42</v>
      </c>
      <c r="B20" s="162" t="s">
        <v>72</v>
      </c>
      <c r="C20" s="162"/>
      <c r="D20" s="162"/>
      <c r="E20" s="162"/>
      <c r="F20" s="27" t="s">
        <v>13</v>
      </c>
      <c r="G20" s="28"/>
      <c r="H20" s="8">
        <f>D5</f>
        <v>3757.2</v>
      </c>
    </row>
    <row r="21" spans="1:10" ht="18" customHeight="1">
      <c r="A21" s="29">
        <v>1</v>
      </c>
      <c r="B21" s="163" t="s">
        <v>7</v>
      </c>
      <c r="C21" s="163"/>
      <c r="D21" s="163"/>
      <c r="E21" s="163"/>
      <c r="F21" s="4">
        <f>I12</f>
        <v>125490.47999999998</v>
      </c>
      <c r="G21" s="30"/>
      <c r="H21" s="8" t="s">
        <v>26</v>
      </c>
      <c r="I21" s="22" t="s">
        <v>27</v>
      </c>
      <c r="J21" s="22" t="s">
        <v>28</v>
      </c>
    </row>
    <row r="22" spans="1:10" ht="18" customHeight="1">
      <c r="A22" s="31">
        <v>2</v>
      </c>
      <c r="B22" s="160" t="s">
        <v>29</v>
      </c>
      <c r="C22" s="160"/>
      <c r="D22" s="160"/>
      <c r="E22" s="160"/>
      <c r="F22" s="5">
        <f>I13</f>
        <v>78525.48</v>
      </c>
      <c r="G22" s="30"/>
      <c r="I22" s="88">
        <f>7498.27/(3760.1+1865.12)*H20</f>
        <v>5008.248574100214</v>
      </c>
      <c r="J22" s="88">
        <f>5967.69/(1689.82+3760.1)*H20</f>
        <v>4114.153027567377</v>
      </c>
    </row>
    <row r="23" spans="1:10" ht="18" customHeight="1">
      <c r="A23" s="31">
        <v>3</v>
      </c>
      <c r="B23" s="160" t="s">
        <v>30</v>
      </c>
      <c r="C23" s="160"/>
      <c r="D23" s="160"/>
      <c r="E23" s="160"/>
      <c r="F23" s="5">
        <f>I14</f>
        <v>48467.88</v>
      </c>
      <c r="G23" s="30"/>
      <c r="I23" s="88">
        <f>I22*10</f>
        <v>50082.485741002136</v>
      </c>
      <c r="J23" s="88">
        <f>J22*10</f>
        <v>41141.530275673766</v>
      </c>
    </row>
    <row r="24" spans="1:7" ht="18" customHeight="1">
      <c r="A24" s="31">
        <v>4</v>
      </c>
      <c r="B24" s="160" t="s">
        <v>9</v>
      </c>
      <c r="C24" s="160"/>
      <c r="D24" s="160"/>
      <c r="E24" s="160"/>
      <c r="F24" s="5">
        <f>F25+F26+F27+F28+F29</f>
        <v>27763.9</v>
      </c>
      <c r="G24" s="90">
        <f>F62</f>
        <v>31205.97</v>
      </c>
    </row>
    <row r="25" spans="1:7" ht="18" customHeight="1">
      <c r="A25" s="31" t="s">
        <v>10</v>
      </c>
      <c r="B25" s="160" t="s">
        <v>31</v>
      </c>
      <c r="C25" s="160"/>
      <c r="D25" s="160"/>
      <c r="E25" s="160"/>
      <c r="F25" s="6">
        <f>F49+F55</f>
        <v>13015</v>
      </c>
      <c r="G25" s="30"/>
    </row>
    <row r="26" spans="1:7" ht="16.5" customHeight="1">
      <c r="A26" s="31" t="s">
        <v>10</v>
      </c>
      <c r="B26" s="160" t="s">
        <v>32</v>
      </c>
      <c r="C26" s="160"/>
      <c r="D26" s="160"/>
      <c r="E26" s="160"/>
      <c r="F26" s="6">
        <f>F45+F51+F52+F56+F57+F58</f>
        <v>4817</v>
      </c>
      <c r="G26" s="18"/>
    </row>
    <row r="27" spans="1:10" ht="16.5" customHeight="1">
      <c r="A27" s="31" t="s">
        <v>10</v>
      </c>
      <c r="B27" s="160" t="s">
        <v>33</v>
      </c>
      <c r="C27" s="160"/>
      <c r="D27" s="160"/>
      <c r="E27" s="160"/>
      <c r="F27" s="6">
        <f>F54</f>
        <v>1239</v>
      </c>
      <c r="G27" s="18"/>
      <c r="H27" s="8" t="s">
        <v>61</v>
      </c>
      <c r="I27" s="87">
        <v>42170</v>
      </c>
      <c r="J27" s="8">
        <v>1950</v>
      </c>
    </row>
    <row r="28" spans="1:10" ht="16.5" customHeight="1">
      <c r="A28" s="31" t="s">
        <v>10</v>
      </c>
      <c r="B28" s="160" t="s">
        <v>74</v>
      </c>
      <c r="C28" s="160"/>
      <c r="D28" s="160"/>
      <c r="E28" s="160"/>
      <c r="F28" s="6">
        <f>F44</f>
        <v>5380</v>
      </c>
      <c r="G28" s="18"/>
      <c r="I28" s="8" t="s">
        <v>77</v>
      </c>
      <c r="J28" s="8">
        <v>1950</v>
      </c>
    </row>
    <row r="29" spans="1:10" ht="17.25" customHeight="1">
      <c r="A29" s="31" t="s">
        <v>10</v>
      </c>
      <c r="B29" s="160" t="s">
        <v>75</v>
      </c>
      <c r="C29" s="160"/>
      <c r="D29" s="160"/>
      <c r="E29" s="160"/>
      <c r="F29" s="6">
        <f>F50</f>
        <v>3312.9</v>
      </c>
      <c r="G29" s="18"/>
      <c r="I29" s="8" t="s">
        <v>78</v>
      </c>
      <c r="J29" s="8">
        <v>1300</v>
      </c>
    </row>
    <row r="30" spans="1:10" ht="17.25" customHeight="1">
      <c r="A30" s="31">
        <v>5</v>
      </c>
      <c r="B30" s="159" t="s">
        <v>48</v>
      </c>
      <c r="C30" s="159"/>
      <c r="D30" s="159"/>
      <c r="E30" s="159"/>
      <c r="F30" s="6">
        <f>D15</f>
        <v>53069.93</v>
      </c>
      <c r="G30" s="18"/>
      <c r="I30" s="8" t="s">
        <v>78</v>
      </c>
      <c r="J30" s="8">
        <v>650</v>
      </c>
    </row>
    <row r="31" spans="1:10" ht="17.25" customHeight="1">
      <c r="A31" s="31">
        <v>6</v>
      </c>
      <c r="B31" s="159" t="s">
        <v>76</v>
      </c>
      <c r="C31" s="159"/>
      <c r="D31" s="159"/>
      <c r="E31" s="159"/>
      <c r="F31" s="6">
        <f>F46+F47+F48+F53</f>
        <v>3442.0699999999997</v>
      </c>
      <c r="G31" s="18"/>
      <c r="I31" s="8" t="s">
        <v>78</v>
      </c>
      <c r="J31" s="8">
        <v>1300</v>
      </c>
    </row>
    <row r="32" spans="1:10" ht="17.25" customHeight="1">
      <c r="A32" s="31">
        <v>7</v>
      </c>
      <c r="B32" s="159" t="s">
        <v>68</v>
      </c>
      <c r="C32" s="159"/>
      <c r="D32" s="159"/>
      <c r="E32" s="159"/>
      <c r="F32" s="6">
        <f>SUM(J27:J32)</f>
        <v>9100</v>
      </c>
      <c r="G32" s="18"/>
      <c r="I32" s="8" t="s">
        <v>78</v>
      </c>
      <c r="J32" s="8">
        <v>1950</v>
      </c>
    </row>
    <row r="33" spans="1:7" ht="17.25" customHeight="1">
      <c r="A33" s="31">
        <v>8</v>
      </c>
      <c r="B33" s="159" t="s">
        <v>2</v>
      </c>
      <c r="C33" s="159"/>
      <c r="D33" s="159"/>
      <c r="E33" s="159"/>
      <c r="F33" s="6">
        <f>D12</f>
        <v>67054.04</v>
      </c>
      <c r="G33" s="18"/>
    </row>
    <row r="34" spans="1:7" s="34" customFormat="1" ht="15.75">
      <c r="A34" s="31">
        <v>9</v>
      </c>
      <c r="B34" s="159" t="s">
        <v>4</v>
      </c>
      <c r="C34" s="159"/>
      <c r="D34" s="159"/>
      <c r="E34" s="159"/>
      <c r="F34" s="6">
        <f>D14</f>
        <v>12859.16</v>
      </c>
      <c r="G34" s="15"/>
    </row>
    <row r="35" spans="1:7" s="34" customFormat="1" ht="15.75">
      <c r="A35" s="31">
        <v>10</v>
      </c>
      <c r="B35" s="147" t="s">
        <v>81</v>
      </c>
      <c r="C35" s="148"/>
      <c r="D35" s="148"/>
      <c r="E35" s="149"/>
      <c r="F35" s="6">
        <v>607.56</v>
      </c>
      <c r="G35" s="15"/>
    </row>
    <row r="36" spans="1:6" ht="19.5" customHeight="1">
      <c r="A36" s="32"/>
      <c r="B36" s="150" t="s">
        <v>11</v>
      </c>
      <c r="C36" s="150"/>
      <c r="D36" s="150"/>
      <c r="E36" s="150"/>
      <c r="F36" s="33">
        <f>F21+F22+F23+F24+F33+F34+F32+F30+F31+F35</f>
        <v>426380.49999999994</v>
      </c>
    </row>
    <row r="37" ht="18" customHeight="1"/>
    <row r="38" spans="1:6" ht="20.25" customHeight="1">
      <c r="A38" s="91" t="s">
        <v>80</v>
      </c>
      <c r="B38" s="91"/>
      <c r="C38" s="91"/>
      <c r="D38" s="91"/>
      <c r="E38" s="91"/>
      <c r="F38" s="6">
        <f>D16-F36+D7</f>
        <v>77076.26000000001</v>
      </c>
    </row>
    <row r="39" spans="1:6" ht="18" customHeight="1">
      <c r="A39" s="154" t="s">
        <v>73</v>
      </c>
      <c r="B39" s="154"/>
      <c r="C39" s="154"/>
      <c r="D39" s="154"/>
      <c r="E39" s="154"/>
      <c r="F39" s="6">
        <f>F16</f>
        <v>-123825.94999999997</v>
      </c>
    </row>
    <row r="40" spans="1:6" ht="19.5" customHeight="1">
      <c r="A40" s="155" t="s">
        <v>64</v>
      </c>
      <c r="B40" s="155"/>
      <c r="C40" s="155"/>
      <c r="D40" s="155"/>
      <c r="E40" s="155"/>
      <c r="F40" s="6">
        <f>F38+F39</f>
        <v>-46749.68999999996</v>
      </c>
    </row>
    <row r="42" spans="1:6" s="41" customFormat="1" ht="15.75">
      <c r="A42" s="17"/>
      <c r="B42" s="8"/>
      <c r="C42" s="8"/>
      <c r="D42" s="8"/>
      <c r="E42" s="8"/>
      <c r="F42" s="8"/>
    </row>
    <row r="43" spans="1:6" s="43" customFormat="1" ht="15.75">
      <c r="A43" s="35" t="s">
        <v>20</v>
      </c>
      <c r="B43" s="35" t="s">
        <v>12</v>
      </c>
      <c r="C43" s="156" t="s">
        <v>34</v>
      </c>
      <c r="D43" s="157"/>
      <c r="E43" s="158"/>
      <c r="F43" s="35" t="s">
        <v>35</v>
      </c>
    </row>
    <row r="44" spans="1:7" s="46" customFormat="1" ht="32.25" customHeight="1">
      <c r="A44" s="40">
        <v>1</v>
      </c>
      <c r="B44" s="55" t="s">
        <v>69</v>
      </c>
      <c r="C44" s="134" t="s">
        <v>79</v>
      </c>
      <c r="D44" s="135"/>
      <c r="E44" s="136"/>
      <c r="F44" s="56">
        <f>10*538</f>
        <v>5380</v>
      </c>
      <c r="G44" s="78" t="s">
        <v>57</v>
      </c>
    </row>
    <row r="45" spans="1:7" s="46" customFormat="1" ht="15.75">
      <c r="A45" s="44">
        <v>2</v>
      </c>
      <c r="B45" s="64">
        <v>42066</v>
      </c>
      <c r="C45" s="188" t="s">
        <v>58</v>
      </c>
      <c r="D45" s="189"/>
      <c r="E45" s="190"/>
      <c r="F45" s="65">
        <v>565</v>
      </c>
      <c r="G45" s="45"/>
    </row>
    <row r="46" spans="1:6" s="52" customFormat="1" ht="15.75">
      <c r="A46" s="44">
        <v>3</v>
      </c>
      <c r="B46" s="64">
        <v>42081</v>
      </c>
      <c r="C46" s="188" t="s">
        <v>62</v>
      </c>
      <c r="D46" s="189"/>
      <c r="E46" s="190"/>
      <c r="F46" s="65">
        <v>1197.24</v>
      </c>
    </row>
    <row r="47" spans="1:6" s="52" customFormat="1" ht="15.75">
      <c r="A47" s="47">
        <v>4</v>
      </c>
      <c r="B47" s="66">
        <v>42097</v>
      </c>
      <c r="C47" s="191" t="s">
        <v>62</v>
      </c>
      <c r="D47" s="192"/>
      <c r="E47" s="193"/>
      <c r="F47" s="67">
        <v>897.93</v>
      </c>
    </row>
    <row r="48" spans="1:6" s="50" customFormat="1" ht="15.75">
      <c r="A48" s="51">
        <v>5</v>
      </c>
      <c r="B48" s="59">
        <v>42153</v>
      </c>
      <c r="C48" s="173" t="s">
        <v>62</v>
      </c>
      <c r="D48" s="174"/>
      <c r="E48" s="175"/>
      <c r="F48" s="60">
        <v>748.28</v>
      </c>
    </row>
    <row r="49" spans="1:6" s="50" customFormat="1" ht="15.75">
      <c r="A49" s="49">
        <v>6</v>
      </c>
      <c r="B49" s="61" t="s">
        <v>59</v>
      </c>
      <c r="C49" s="176" t="s">
        <v>53</v>
      </c>
      <c r="D49" s="177"/>
      <c r="E49" s="178"/>
      <c r="F49" s="68">
        <f>7214+5147</f>
        <v>12361</v>
      </c>
    </row>
    <row r="50" spans="1:6" s="50" customFormat="1" ht="15.75">
      <c r="A50" s="49">
        <v>7</v>
      </c>
      <c r="B50" s="61">
        <v>42164</v>
      </c>
      <c r="C50" s="176" t="s">
        <v>60</v>
      </c>
      <c r="D50" s="177"/>
      <c r="E50" s="178"/>
      <c r="F50" s="68">
        <v>3312.9</v>
      </c>
    </row>
    <row r="51" spans="1:6" s="54" customFormat="1" ht="15.75">
      <c r="A51" s="49">
        <v>8</v>
      </c>
      <c r="B51" s="61">
        <v>42165</v>
      </c>
      <c r="C51" s="179" t="s">
        <v>58</v>
      </c>
      <c r="D51" s="180"/>
      <c r="E51" s="181"/>
      <c r="F51" s="69">
        <v>1759</v>
      </c>
    </row>
    <row r="52" spans="1:6" s="54" customFormat="1" ht="32.25" customHeight="1">
      <c r="A52" s="53">
        <v>9</v>
      </c>
      <c r="B52" s="63">
        <v>42193</v>
      </c>
      <c r="C52" s="194" t="s">
        <v>54</v>
      </c>
      <c r="D52" s="195"/>
      <c r="E52" s="196"/>
      <c r="F52" s="62">
        <v>987</v>
      </c>
    </row>
    <row r="53" spans="1:6" s="75" customFormat="1" ht="15.75">
      <c r="A53" s="53">
        <v>10</v>
      </c>
      <c r="B53" s="63">
        <v>42203</v>
      </c>
      <c r="C53" s="185" t="s">
        <v>62</v>
      </c>
      <c r="D53" s="186"/>
      <c r="E53" s="187"/>
      <c r="F53" s="71">
        <v>598.62</v>
      </c>
    </row>
    <row r="54" spans="1:6" s="75" customFormat="1" ht="15.75">
      <c r="A54" s="72">
        <v>11</v>
      </c>
      <c r="B54" s="73">
        <v>42243</v>
      </c>
      <c r="C54" s="182" t="s">
        <v>70</v>
      </c>
      <c r="D54" s="183"/>
      <c r="E54" s="184"/>
      <c r="F54" s="74">
        <v>1239</v>
      </c>
    </row>
    <row r="55" spans="1:6" s="82" customFormat="1" ht="15.75">
      <c r="A55" s="72">
        <v>12</v>
      </c>
      <c r="B55" s="73">
        <v>42229</v>
      </c>
      <c r="C55" s="182" t="s">
        <v>71</v>
      </c>
      <c r="D55" s="183"/>
      <c r="E55" s="184"/>
      <c r="F55" s="76">
        <v>654</v>
      </c>
    </row>
    <row r="56" spans="1:6" ht="15.75">
      <c r="A56" s="79">
        <v>13</v>
      </c>
      <c r="B56" s="80">
        <v>42263</v>
      </c>
      <c r="C56" s="170" t="s">
        <v>58</v>
      </c>
      <c r="D56" s="171"/>
      <c r="E56" s="172"/>
      <c r="F56" s="81">
        <v>105</v>
      </c>
    </row>
    <row r="57" spans="1:6" ht="15.75">
      <c r="A57" s="83">
        <v>14</v>
      </c>
      <c r="B57" s="84">
        <v>42293</v>
      </c>
      <c r="C57" s="203" t="s">
        <v>58</v>
      </c>
      <c r="D57" s="204"/>
      <c r="E57" s="205"/>
      <c r="F57" s="85">
        <v>909</v>
      </c>
    </row>
    <row r="58" spans="1:6" s="92" customFormat="1" ht="15">
      <c r="A58" s="1">
        <v>15</v>
      </c>
      <c r="B58" s="3">
        <v>42345</v>
      </c>
      <c r="C58" s="197" t="s">
        <v>52</v>
      </c>
      <c r="D58" s="198"/>
      <c r="E58" s="199"/>
      <c r="F58" s="2">
        <v>492</v>
      </c>
    </row>
    <row r="59" spans="1:6" s="92" customFormat="1" ht="27" customHeight="1">
      <c r="A59" s="1"/>
      <c r="B59" s="93"/>
      <c r="C59" s="197"/>
      <c r="D59" s="198"/>
      <c r="E59" s="199"/>
      <c r="F59" s="2"/>
    </row>
    <row r="60" spans="1:6" s="92" customFormat="1" ht="15">
      <c r="A60" s="1"/>
      <c r="B60" s="3"/>
      <c r="C60" s="197"/>
      <c r="D60" s="198"/>
      <c r="E60" s="199"/>
      <c r="F60" s="2"/>
    </row>
    <row r="61" spans="1:6" s="95" customFormat="1" ht="15">
      <c r="A61" s="1"/>
      <c r="B61" s="3"/>
      <c r="C61" s="200"/>
      <c r="D61" s="201"/>
      <c r="E61" s="202"/>
      <c r="F61" s="94"/>
    </row>
    <row r="62" spans="1:6" ht="15.75">
      <c r="A62" s="146" t="s">
        <v>36</v>
      </c>
      <c r="B62" s="146"/>
      <c r="C62" s="146"/>
      <c r="D62" s="146"/>
      <c r="E62" s="146"/>
      <c r="F62" s="36">
        <f>SUM(F44:F61)</f>
        <v>31205.97</v>
      </c>
    </row>
  </sheetData>
  <sheetProtection selectLockedCells="1" selectUnlockedCells="1"/>
  <mergeCells count="42">
    <mergeCell ref="B35:E35"/>
    <mergeCell ref="C55:E55"/>
    <mergeCell ref="C52:E52"/>
    <mergeCell ref="A62:E62"/>
    <mergeCell ref="B32:E32"/>
    <mergeCell ref="C58:E58"/>
    <mergeCell ref="C59:E59"/>
    <mergeCell ref="C60:E60"/>
    <mergeCell ref="C61:E61"/>
    <mergeCell ref="C57:E57"/>
    <mergeCell ref="C53:E53"/>
    <mergeCell ref="C46:E46"/>
    <mergeCell ref="C47:E47"/>
    <mergeCell ref="A40:E40"/>
    <mergeCell ref="C43:E43"/>
    <mergeCell ref="C44:E44"/>
    <mergeCell ref="C45:E45"/>
    <mergeCell ref="C56:E56"/>
    <mergeCell ref="C48:E48"/>
    <mergeCell ref="C49:E49"/>
    <mergeCell ref="C50:E50"/>
    <mergeCell ref="C51:E51"/>
    <mergeCell ref="B33:E33"/>
    <mergeCell ref="B34:E34"/>
    <mergeCell ref="B36:E36"/>
    <mergeCell ref="A39:E39"/>
    <mergeCell ref="C54:E54"/>
    <mergeCell ref="B23:E23"/>
    <mergeCell ref="B24:E24"/>
    <mergeCell ref="B25:E25"/>
    <mergeCell ref="B26:E26"/>
    <mergeCell ref="B27:E27"/>
    <mergeCell ref="B31:E31"/>
    <mergeCell ref="B28:E28"/>
    <mergeCell ref="B29:E29"/>
    <mergeCell ref="B30:E30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0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421875" style="17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61" t="s">
        <v>37</v>
      </c>
      <c r="B1" s="161"/>
      <c r="C1" s="161"/>
      <c r="D1" s="161"/>
      <c r="E1" s="161"/>
      <c r="F1" s="161"/>
      <c r="G1" s="14"/>
    </row>
    <row r="2" spans="1:8" ht="15.75">
      <c r="A2" s="161" t="s">
        <v>49</v>
      </c>
      <c r="B2" s="161"/>
      <c r="C2" s="161"/>
      <c r="D2" s="161"/>
      <c r="E2" s="161"/>
      <c r="F2" s="161"/>
      <c r="G2" s="15"/>
      <c r="H2" s="16"/>
    </row>
    <row r="3" spans="7:9" ht="9" customHeight="1">
      <c r="G3" s="8" t="s">
        <v>43</v>
      </c>
      <c r="H3" s="8">
        <v>8.59</v>
      </c>
      <c r="I3" s="39">
        <f>H3*12*H20</f>
        <v>387591.108</v>
      </c>
    </row>
    <row r="4" spans="1:9" ht="15.75">
      <c r="A4" s="18"/>
      <c r="C4" s="18"/>
      <c r="D4" s="18"/>
      <c r="E4" s="18"/>
      <c r="F4" s="18"/>
      <c r="G4" s="18" t="s">
        <v>44</v>
      </c>
      <c r="H4" s="8">
        <v>3.34</v>
      </c>
      <c r="I4" s="38">
        <f>H4*12*H20</f>
        <v>150704.808</v>
      </c>
    </row>
    <row r="5" spans="1:9" ht="15.75">
      <c r="A5" s="18" t="s">
        <v>14</v>
      </c>
      <c r="C5" s="18"/>
      <c r="D5" s="18">
        <v>3760.1</v>
      </c>
      <c r="E5" s="18" t="s">
        <v>15</v>
      </c>
      <c r="F5" s="18"/>
      <c r="G5" s="18" t="s">
        <v>45</v>
      </c>
      <c r="H5" s="8">
        <f>2.09</f>
        <v>2.09</v>
      </c>
      <c r="I5" s="38">
        <f>H5*12*H20</f>
        <v>94303.30799999999</v>
      </c>
    </row>
    <row r="6" spans="7:9" ht="9" customHeight="1">
      <c r="G6" s="8" t="s">
        <v>46</v>
      </c>
      <c r="H6" s="8">
        <v>1.29</v>
      </c>
      <c r="I6" s="39">
        <f>H6*12*H20</f>
        <v>58206.348</v>
      </c>
    </row>
    <row r="7" spans="1:6" ht="15.75">
      <c r="A7" s="15" t="s">
        <v>16</v>
      </c>
      <c r="C7" s="15"/>
      <c r="D7" s="19" t="e">
        <f>#REF!</f>
        <v>#REF!</v>
      </c>
      <c r="E7" s="15" t="s">
        <v>63</v>
      </c>
      <c r="F7" s="15"/>
    </row>
    <row r="8" spans="1:6" ht="15.75">
      <c r="A8" s="15" t="s">
        <v>17</v>
      </c>
      <c r="C8" s="18"/>
      <c r="D8" s="20">
        <f>C16</f>
        <v>-132122.97</v>
      </c>
      <c r="E8" s="18" t="s">
        <v>18</v>
      </c>
      <c r="F8" s="18"/>
    </row>
    <row r="9" spans="2:6" ht="15.75">
      <c r="B9" s="18"/>
      <c r="C9" s="18"/>
      <c r="D9" s="18"/>
      <c r="E9" s="18"/>
      <c r="F9" s="21" t="s">
        <v>19</v>
      </c>
    </row>
    <row r="10" spans="1:6" s="17" customFormat="1" ht="28.5" customHeight="1">
      <c r="A10" s="7" t="s">
        <v>20</v>
      </c>
      <c r="B10" s="22" t="s">
        <v>21</v>
      </c>
      <c r="C10" s="23" t="s">
        <v>22</v>
      </c>
      <c r="D10" s="23" t="s">
        <v>0</v>
      </c>
      <c r="E10" s="23" t="s">
        <v>23</v>
      </c>
      <c r="F10" s="23" t="s">
        <v>40</v>
      </c>
    </row>
    <row r="11" spans="1:8" s="26" customFormat="1" ht="30" customHeight="1">
      <c r="A11" s="7">
        <v>1</v>
      </c>
      <c r="B11" s="24" t="s">
        <v>1</v>
      </c>
      <c r="C11" s="9">
        <v>-84040.97</v>
      </c>
      <c r="D11" s="9"/>
      <c r="E11" s="9"/>
      <c r="F11" s="9">
        <f>C11-D11+E11</f>
        <v>-84040.97</v>
      </c>
      <c r="G11" s="25"/>
      <c r="H11" s="25"/>
    </row>
    <row r="12" spans="1:8" s="26" customFormat="1" ht="30" customHeight="1">
      <c r="A12" s="7">
        <v>2</v>
      </c>
      <c r="B12" s="24" t="s">
        <v>2</v>
      </c>
      <c r="C12" s="9">
        <v>-17335.45</v>
      </c>
      <c r="D12" s="9"/>
      <c r="E12" s="9"/>
      <c r="F12" s="9">
        <f>C12-D12+E12</f>
        <v>-17335.45</v>
      </c>
      <c r="G12" s="25"/>
      <c r="H12" s="25"/>
    </row>
    <row r="13" spans="1:8" s="26" customFormat="1" ht="29.25" customHeight="1">
      <c r="A13" s="7">
        <v>3</v>
      </c>
      <c r="B13" s="24" t="s">
        <v>3</v>
      </c>
      <c r="C13" s="9">
        <v>-11855.63</v>
      </c>
      <c r="D13" s="9"/>
      <c r="E13" s="9"/>
      <c r="F13" s="9">
        <f>C13-D13+E13</f>
        <v>-11855.63</v>
      </c>
      <c r="G13" s="25"/>
      <c r="H13" s="25"/>
    </row>
    <row r="14" spans="1:8" s="26" customFormat="1" ht="30" customHeight="1">
      <c r="A14" s="7">
        <v>4</v>
      </c>
      <c r="B14" s="24" t="s">
        <v>4</v>
      </c>
      <c r="C14" s="9">
        <v>-6974.32</v>
      </c>
      <c r="D14" s="9"/>
      <c r="E14" s="9"/>
      <c r="F14" s="9">
        <f>C14-D14+E14</f>
        <v>-6974.32</v>
      </c>
      <c r="G14" s="25"/>
      <c r="H14" s="25"/>
    </row>
    <row r="15" spans="1:8" s="26" customFormat="1" ht="30" customHeight="1">
      <c r="A15" s="7">
        <v>5</v>
      </c>
      <c r="B15" s="24" t="s">
        <v>47</v>
      </c>
      <c r="C15" s="9">
        <v>-11916.6</v>
      </c>
      <c r="D15" s="9"/>
      <c r="E15" s="9"/>
      <c r="F15" s="9">
        <f>C15-D15+E15</f>
        <v>-11916.6</v>
      </c>
      <c r="G15" s="25"/>
      <c r="H15" s="25"/>
    </row>
    <row r="16" spans="1:6" ht="26.25" customHeight="1">
      <c r="A16" s="7"/>
      <c r="B16" s="24" t="s">
        <v>5</v>
      </c>
      <c r="C16" s="9">
        <f>SUM(C11:C15)</f>
        <v>-132122.97</v>
      </c>
      <c r="D16" s="9">
        <f>SUM(D11:D15)</f>
        <v>0</v>
      </c>
      <c r="E16" s="9">
        <f>SUM(E11:E15)</f>
        <v>0</v>
      </c>
      <c r="F16" s="9">
        <f>SUM(F11:F15)</f>
        <v>-132122.97</v>
      </c>
    </row>
    <row r="17" ht="11.25" customHeight="1"/>
    <row r="18" spans="1:6" ht="15.75">
      <c r="A18" s="161" t="s">
        <v>24</v>
      </c>
      <c r="B18" s="161"/>
      <c r="C18" s="161"/>
      <c r="D18" s="161"/>
      <c r="E18" s="161"/>
      <c r="F18" s="161"/>
    </row>
    <row r="19" spans="1:8" ht="15.75">
      <c r="A19" s="37"/>
      <c r="B19" s="14"/>
      <c r="C19" s="14"/>
      <c r="D19" s="14"/>
      <c r="E19" s="14"/>
      <c r="F19" s="14"/>
      <c r="H19" s="8" t="s">
        <v>25</v>
      </c>
    </row>
    <row r="20" spans="1:8" ht="33" customHeight="1">
      <c r="A20" s="23" t="s">
        <v>42</v>
      </c>
      <c r="B20" s="162" t="s">
        <v>6</v>
      </c>
      <c r="C20" s="162"/>
      <c r="D20" s="162"/>
      <c r="E20" s="162"/>
      <c r="F20" s="27" t="s">
        <v>13</v>
      </c>
      <c r="G20" s="28"/>
      <c r="H20" s="8">
        <f>D5</f>
        <v>3760.1</v>
      </c>
    </row>
    <row r="21" spans="1:10" ht="18" customHeight="1">
      <c r="A21" s="29">
        <v>1</v>
      </c>
      <c r="B21" s="163" t="s">
        <v>7</v>
      </c>
      <c r="C21" s="163"/>
      <c r="D21" s="163"/>
      <c r="E21" s="163"/>
      <c r="F21" s="4">
        <f>I4</f>
        <v>150704.808</v>
      </c>
      <c r="G21" s="30"/>
      <c r="H21" s="8" t="s">
        <v>26</v>
      </c>
      <c r="I21" s="22" t="s">
        <v>27</v>
      </c>
      <c r="J21" s="22" t="s">
        <v>28</v>
      </c>
    </row>
    <row r="22" spans="1:10" ht="18" customHeight="1">
      <c r="A22" s="31">
        <v>2</v>
      </c>
      <c r="B22" s="160" t="s">
        <v>8</v>
      </c>
      <c r="C22" s="160"/>
      <c r="D22" s="160"/>
      <c r="E22" s="160"/>
      <c r="F22" s="5">
        <f>0.19*6*H20+0.21*6*H20</f>
        <v>9024.24</v>
      </c>
      <c r="G22" s="30"/>
      <c r="I22" s="88">
        <f>7498.27/(3760.1+1865.12)*H20</f>
        <v>5012.114197666937</v>
      </c>
      <c r="J22" s="88">
        <f>5967.69/(1689.82+3760.1)*H20</f>
        <v>4117.328542253831</v>
      </c>
    </row>
    <row r="23" spans="1:10" ht="18" customHeight="1">
      <c r="A23" s="31">
        <v>3</v>
      </c>
      <c r="B23" s="160" t="s">
        <v>29</v>
      </c>
      <c r="C23" s="160"/>
      <c r="D23" s="160"/>
      <c r="E23" s="160"/>
      <c r="F23" s="5">
        <f>I5</f>
        <v>94303.30799999999</v>
      </c>
      <c r="G23" s="30"/>
      <c r="I23" s="88">
        <f>I22*12</f>
        <v>60145.37037200324</v>
      </c>
      <c r="J23" s="88">
        <f>J22*12</f>
        <v>49407.94250704597</v>
      </c>
    </row>
    <row r="24" spans="1:7" ht="18" customHeight="1">
      <c r="A24" s="31">
        <v>4</v>
      </c>
      <c r="B24" s="160" t="s">
        <v>30</v>
      </c>
      <c r="C24" s="160"/>
      <c r="D24" s="160"/>
      <c r="E24" s="160"/>
      <c r="F24" s="5">
        <f>I6</f>
        <v>58206.348</v>
      </c>
      <c r="G24" s="30"/>
    </row>
    <row r="25" spans="1:7" ht="18" customHeight="1">
      <c r="A25" s="31">
        <v>5</v>
      </c>
      <c r="B25" s="160" t="s">
        <v>9</v>
      </c>
      <c r="C25" s="160"/>
      <c r="D25" s="160"/>
      <c r="E25" s="160"/>
      <c r="F25" s="5">
        <f>F26+F27+F28</f>
        <v>34676.9</v>
      </c>
      <c r="G25" s="30"/>
    </row>
    <row r="26" spans="1:7" ht="16.5" customHeight="1">
      <c r="A26" s="31" t="s">
        <v>10</v>
      </c>
      <c r="B26" s="160" t="s">
        <v>31</v>
      </c>
      <c r="C26" s="160"/>
      <c r="D26" s="160"/>
      <c r="E26" s="160"/>
      <c r="F26" s="6">
        <f>F51+F52+F59</f>
        <v>16327.9</v>
      </c>
      <c r="G26" s="18"/>
    </row>
    <row r="27" spans="1:10" ht="16.5" customHeight="1">
      <c r="A27" s="31" t="s">
        <v>10</v>
      </c>
      <c r="B27" s="160" t="s">
        <v>32</v>
      </c>
      <c r="C27" s="160"/>
      <c r="D27" s="160"/>
      <c r="E27" s="160"/>
      <c r="F27" s="6">
        <f>F40+F41+F42+F43+F46+F48+F49+F53+F54+F55+F57+F60+F62+F64+F65+F66</f>
        <v>17110</v>
      </c>
      <c r="G27" s="18"/>
      <c r="H27" s="8" t="s">
        <v>61</v>
      </c>
      <c r="I27" s="87">
        <v>42170</v>
      </c>
      <c r="J27" s="8">
        <v>1950</v>
      </c>
    </row>
    <row r="28" spans="1:7" ht="16.5" customHeight="1">
      <c r="A28" s="31" t="s">
        <v>10</v>
      </c>
      <c r="B28" s="160" t="s">
        <v>33</v>
      </c>
      <c r="C28" s="160"/>
      <c r="D28" s="160"/>
      <c r="E28" s="160"/>
      <c r="F28" s="6">
        <f>F58</f>
        <v>1239</v>
      </c>
      <c r="G28" s="18"/>
    </row>
    <row r="29" spans="1:7" ht="17.25" customHeight="1">
      <c r="A29" s="31">
        <v>6</v>
      </c>
      <c r="B29" s="159" t="s">
        <v>48</v>
      </c>
      <c r="C29" s="159"/>
      <c r="D29" s="159"/>
      <c r="E29" s="159"/>
      <c r="F29" s="6">
        <f>D15</f>
        <v>0</v>
      </c>
      <c r="G29" s="18"/>
    </row>
    <row r="30" spans="1:7" ht="17.25" customHeight="1">
      <c r="A30" s="31">
        <v>7</v>
      </c>
      <c r="B30" s="159" t="s">
        <v>2</v>
      </c>
      <c r="C30" s="159"/>
      <c r="D30" s="159"/>
      <c r="E30" s="159"/>
      <c r="F30" s="6">
        <f>D11</f>
        <v>0</v>
      </c>
      <c r="G30" s="18"/>
    </row>
    <row r="31" spans="1:7" ht="17.25" customHeight="1">
      <c r="A31" s="31">
        <v>8</v>
      </c>
      <c r="B31" s="159" t="s">
        <v>4</v>
      </c>
      <c r="C31" s="159"/>
      <c r="D31" s="159"/>
      <c r="E31" s="159"/>
      <c r="F31" s="6">
        <f>D14</f>
        <v>0</v>
      </c>
      <c r="G31" s="18"/>
    </row>
    <row r="32" spans="1:7" s="34" customFormat="1" ht="21" customHeight="1">
      <c r="A32" s="32"/>
      <c r="B32" s="150" t="s">
        <v>11</v>
      </c>
      <c r="C32" s="150"/>
      <c r="D32" s="150"/>
      <c r="E32" s="150"/>
      <c r="F32" s="33">
        <f>F21+F22+F23+F24+F25+F30+F31</f>
        <v>346915.604</v>
      </c>
      <c r="G32" s="15"/>
    </row>
    <row r="34" spans="1:6" ht="18" customHeight="1">
      <c r="A34" s="154" t="s">
        <v>38</v>
      </c>
      <c r="B34" s="154"/>
      <c r="C34" s="154"/>
      <c r="D34" s="154"/>
      <c r="E34" s="154"/>
      <c r="F34" s="6" t="e">
        <f>D16-F32+D7</f>
        <v>#REF!</v>
      </c>
    </row>
    <row r="35" spans="1:6" ht="20.25" customHeight="1">
      <c r="A35" s="154" t="s">
        <v>39</v>
      </c>
      <c r="B35" s="154"/>
      <c r="C35" s="154"/>
      <c r="D35" s="154"/>
      <c r="E35" s="154"/>
      <c r="F35" s="6">
        <f>F16</f>
        <v>-132122.97</v>
      </c>
    </row>
    <row r="36" spans="1:6" ht="18" customHeight="1">
      <c r="A36" s="155" t="s">
        <v>64</v>
      </c>
      <c r="B36" s="155"/>
      <c r="C36" s="155"/>
      <c r="D36" s="155"/>
      <c r="E36" s="155"/>
      <c r="F36" s="6" t="e">
        <f>F34+F35</f>
        <v>#REF!</v>
      </c>
    </row>
    <row r="37" ht="11.25" customHeight="1"/>
    <row r="39" spans="1:6" ht="15.75">
      <c r="A39" s="35" t="s">
        <v>20</v>
      </c>
      <c r="B39" s="35" t="s">
        <v>12</v>
      </c>
      <c r="C39" s="156" t="s">
        <v>34</v>
      </c>
      <c r="D39" s="157"/>
      <c r="E39" s="158"/>
      <c r="F39" s="35" t="s">
        <v>35</v>
      </c>
    </row>
    <row r="40" spans="1:6" s="41" customFormat="1" ht="15.75">
      <c r="A40" s="40"/>
      <c r="B40" s="55">
        <v>42023</v>
      </c>
      <c r="C40" s="134" t="s">
        <v>58</v>
      </c>
      <c r="D40" s="135"/>
      <c r="E40" s="136"/>
      <c r="F40" s="56">
        <v>492</v>
      </c>
    </row>
    <row r="41" spans="1:6" s="41" customFormat="1" ht="15.75">
      <c r="A41" s="40"/>
      <c r="B41" s="55">
        <v>42035</v>
      </c>
      <c r="C41" s="134" t="s">
        <v>51</v>
      </c>
      <c r="D41" s="135"/>
      <c r="E41" s="136"/>
      <c r="F41" s="56">
        <v>1074</v>
      </c>
    </row>
    <row r="42" spans="1:6" s="43" customFormat="1" ht="15.75">
      <c r="A42" s="42"/>
      <c r="B42" s="57">
        <v>42046</v>
      </c>
      <c r="C42" s="206" t="s">
        <v>52</v>
      </c>
      <c r="D42" s="207"/>
      <c r="E42" s="208"/>
      <c r="F42" s="58">
        <v>984</v>
      </c>
    </row>
    <row r="43" spans="1:6" s="43" customFormat="1" ht="15.75">
      <c r="A43" s="42"/>
      <c r="B43" s="57">
        <v>42063</v>
      </c>
      <c r="C43" s="206" t="s">
        <v>51</v>
      </c>
      <c r="D43" s="207"/>
      <c r="E43" s="208"/>
      <c r="F43" s="58">
        <v>1074</v>
      </c>
    </row>
    <row r="44" spans="1:7" s="46" customFormat="1" ht="15.75">
      <c r="A44" s="44"/>
      <c r="B44" s="64">
        <v>42066</v>
      </c>
      <c r="C44" s="188" t="s">
        <v>58</v>
      </c>
      <c r="D44" s="189"/>
      <c r="E44" s="190"/>
      <c r="F44" s="65">
        <v>565</v>
      </c>
      <c r="G44" s="78" t="s">
        <v>57</v>
      </c>
    </row>
    <row r="45" spans="1:7" s="46" customFormat="1" ht="15.75">
      <c r="A45" s="44"/>
      <c r="B45" s="64">
        <v>42081</v>
      </c>
      <c r="C45" s="188" t="s">
        <v>62</v>
      </c>
      <c r="D45" s="189"/>
      <c r="E45" s="190"/>
      <c r="F45" s="65">
        <v>1197.24</v>
      </c>
      <c r="G45" s="78"/>
    </row>
    <row r="46" spans="1:7" s="46" customFormat="1" ht="15.75">
      <c r="A46" s="44"/>
      <c r="B46" s="64">
        <v>42091</v>
      </c>
      <c r="C46" s="188" t="s">
        <v>51</v>
      </c>
      <c r="D46" s="189"/>
      <c r="E46" s="190"/>
      <c r="F46" s="65">
        <v>1074</v>
      </c>
      <c r="G46" s="45"/>
    </row>
    <row r="47" spans="1:6" s="48" customFormat="1" ht="15.75">
      <c r="A47" s="47"/>
      <c r="B47" s="66">
        <v>42097</v>
      </c>
      <c r="C47" s="191" t="s">
        <v>62</v>
      </c>
      <c r="D47" s="192"/>
      <c r="E47" s="193"/>
      <c r="F47" s="67">
        <v>897.93</v>
      </c>
    </row>
    <row r="48" spans="1:6" s="48" customFormat="1" ht="15.75">
      <c r="A48" s="47"/>
      <c r="B48" s="66">
        <v>42122</v>
      </c>
      <c r="C48" s="191" t="s">
        <v>51</v>
      </c>
      <c r="D48" s="192"/>
      <c r="E48" s="193"/>
      <c r="F48" s="67">
        <v>1074</v>
      </c>
    </row>
    <row r="49" spans="1:6" s="52" customFormat="1" ht="15.75">
      <c r="A49" s="51"/>
      <c r="B49" s="59">
        <v>42152</v>
      </c>
      <c r="C49" s="173" t="s">
        <v>51</v>
      </c>
      <c r="D49" s="174"/>
      <c r="E49" s="175"/>
      <c r="F49" s="60">
        <v>1074</v>
      </c>
    </row>
    <row r="50" spans="1:6" s="52" customFormat="1" ht="15.75">
      <c r="A50" s="51"/>
      <c r="B50" s="59">
        <v>42153</v>
      </c>
      <c r="C50" s="173" t="s">
        <v>62</v>
      </c>
      <c r="D50" s="174"/>
      <c r="E50" s="175"/>
      <c r="F50" s="60">
        <v>748.28</v>
      </c>
    </row>
    <row r="51" spans="1:6" s="50" customFormat="1" ht="15.75">
      <c r="A51" s="49"/>
      <c r="B51" s="61" t="s">
        <v>59</v>
      </c>
      <c r="C51" s="176" t="s">
        <v>53</v>
      </c>
      <c r="D51" s="177"/>
      <c r="E51" s="178"/>
      <c r="F51" s="68">
        <f>7214+5147</f>
        <v>12361</v>
      </c>
    </row>
    <row r="52" spans="1:6" s="50" customFormat="1" ht="15.75">
      <c r="A52" s="49"/>
      <c r="B52" s="61">
        <v>42164</v>
      </c>
      <c r="C52" s="176" t="s">
        <v>60</v>
      </c>
      <c r="D52" s="177"/>
      <c r="E52" s="178"/>
      <c r="F52" s="68">
        <v>3312.9</v>
      </c>
    </row>
    <row r="53" spans="1:6" s="50" customFormat="1" ht="15.75">
      <c r="A53" s="49"/>
      <c r="B53" s="61">
        <v>42165</v>
      </c>
      <c r="C53" s="179" t="s">
        <v>58</v>
      </c>
      <c r="D53" s="180"/>
      <c r="E53" s="181"/>
      <c r="F53" s="69">
        <v>1759</v>
      </c>
    </row>
    <row r="54" spans="1:6" s="50" customFormat="1" ht="15.75">
      <c r="A54" s="49"/>
      <c r="B54" s="61">
        <v>42183</v>
      </c>
      <c r="C54" s="212" t="s">
        <v>51</v>
      </c>
      <c r="D54" s="213"/>
      <c r="E54" s="214"/>
      <c r="F54" s="70">
        <v>1074</v>
      </c>
    </row>
    <row r="55" spans="1:6" s="54" customFormat="1" ht="30" customHeight="1">
      <c r="A55" s="53"/>
      <c r="B55" s="63">
        <v>42193</v>
      </c>
      <c r="C55" s="194" t="s">
        <v>54</v>
      </c>
      <c r="D55" s="195"/>
      <c r="E55" s="196"/>
      <c r="F55" s="62">
        <v>987</v>
      </c>
    </row>
    <row r="56" spans="1:6" s="54" customFormat="1" ht="15.75">
      <c r="A56" s="53"/>
      <c r="B56" s="63">
        <v>42203</v>
      </c>
      <c r="C56" s="185" t="s">
        <v>62</v>
      </c>
      <c r="D56" s="186"/>
      <c r="E56" s="187"/>
      <c r="F56" s="71">
        <v>598.62</v>
      </c>
    </row>
    <row r="57" spans="1:6" s="54" customFormat="1" ht="15.75">
      <c r="A57" s="53"/>
      <c r="B57" s="63">
        <v>42213</v>
      </c>
      <c r="C57" s="185" t="s">
        <v>51</v>
      </c>
      <c r="D57" s="186"/>
      <c r="E57" s="187"/>
      <c r="F57" s="71">
        <v>1074</v>
      </c>
    </row>
    <row r="58" spans="1:6" s="75" customFormat="1" ht="15.75">
      <c r="A58" s="72"/>
      <c r="B58" s="73">
        <v>42243</v>
      </c>
      <c r="C58" s="182" t="s">
        <v>55</v>
      </c>
      <c r="D58" s="183"/>
      <c r="E58" s="184"/>
      <c r="F58" s="74">
        <v>1239</v>
      </c>
    </row>
    <row r="59" spans="1:6" s="75" customFormat="1" ht="48" customHeight="1">
      <c r="A59" s="72"/>
      <c r="B59" s="73">
        <v>42229</v>
      </c>
      <c r="C59" s="182" t="s">
        <v>56</v>
      </c>
      <c r="D59" s="183"/>
      <c r="E59" s="184"/>
      <c r="F59" s="76">
        <v>654</v>
      </c>
    </row>
    <row r="60" spans="1:6" s="75" customFormat="1" ht="30" customHeight="1">
      <c r="A60" s="72">
        <v>22</v>
      </c>
      <c r="B60" s="73">
        <v>42241</v>
      </c>
      <c r="C60" s="215" t="s">
        <v>41</v>
      </c>
      <c r="D60" s="216"/>
      <c r="E60" s="217"/>
      <c r="F60" s="77">
        <v>1074</v>
      </c>
    </row>
    <row r="61" spans="1:6" s="82" customFormat="1" ht="15.75">
      <c r="A61" s="79">
        <v>23</v>
      </c>
      <c r="B61" s="80">
        <v>42263</v>
      </c>
      <c r="C61" s="170" t="s">
        <v>58</v>
      </c>
      <c r="D61" s="171"/>
      <c r="E61" s="172"/>
      <c r="F61" s="81">
        <v>105</v>
      </c>
    </row>
    <row r="62" spans="1:6" s="82" customFormat="1" ht="30" customHeight="1">
      <c r="A62" s="79">
        <v>23</v>
      </c>
      <c r="B62" s="80">
        <v>42272</v>
      </c>
      <c r="C62" s="170" t="s">
        <v>41</v>
      </c>
      <c r="D62" s="171"/>
      <c r="E62" s="172"/>
      <c r="F62" s="81">
        <v>1074</v>
      </c>
    </row>
    <row r="63" spans="1:6" s="86" customFormat="1" ht="15.75">
      <c r="A63" s="83">
        <v>24</v>
      </c>
      <c r="B63" s="84">
        <v>42293</v>
      </c>
      <c r="C63" s="203" t="s">
        <v>58</v>
      </c>
      <c r="D63" s="204"/>
      <c r="E63" s="205"/>
      <c r="F63" s="85">
        <v>909</v>
      </c>
    </row>
    <row r="64" spans="1:6" s="86" customFormat="1" ht="30" customHeight="1">
      <c r="A64" s="83">
        <v>24</v>
      </c>
      <c r="B64" s="84">
        <v>42302</v>
      </c>
      <c r="C64" s="203" t="s">
        <v>41</v>
      </c>
      <c r="D64" s="204"/>
      <c r="E64" s="205"/>
      <c r="F64" s="85">
        <v>1074</v>
      </c>
    </row>
    <row r="65" spans="1:6" ht="30" customHeight="1">
      <c r="A65" s="1"/>
      <c r="B65" s="3">
        <v>42333</v>
      </c>
      <c r="C65" s="200" t="s">
        <v>41</v>
      </c>
      <c r="D65" s="201"/>
      <c r="E65" s="202"/>
      <c r="F65" s="56">
        <v>1074</v>
      </c>
    </row>
    <row r="66" spans="1:6" ht="30" customHeight="1">
      <c r="A66" s="1"/>
      <c r="B66" s="3">
        <v>42363</v>
      </c>
      <c r="C66" s="200" t="s">
        <v>41</v>
      </c>
      <c r="D66" s="201"/>
      <c r="E66" s="202"/>
      <c r="F66" s="56">
        <v>1074</v>
      </c>
    </row>
    <row r="67" spans="1:6" ht="30" customHeight="1">
      <c r="A67" s="1"/>
      <c r="B67" s="3"/>
      <c r="C67" s="197"/>
      <c r="D67" s="198"/>
      <c r="E67" s="199"/>
      <c r="F67" s="2"/>
    </row>
    <row r="68" spans="1:6" ht="15.75">
      <c r="A68" s="1"/>
      <c r="B68" s="3"/>
      <c r="C68" s="197"/>
      <c r="D68" s="198"/>
      <c r="E68" s="199"/>
      <c r="F68" s="13"/>
    </row>
    <row r="69" spans="1:6" ht="27.75" customHeight="1">
      <c r="A69" s="1"/>
      <c r="B69" s="3"/>
      <c r="C69" s="197"/>
      <c r="D69" s="198"/>
      <c r="E69" s="199"/>
      <c r="F69" s="2"/>
    </row>
    <row r="70" spans="1:6" ht="27.75" customHeight="1">
      <c r="A70" s="1"/>
      <c r="B70" s="3"/>
      <c r="C70" s="197"/>
      <c r="D70" s="198"/>
      <c r="E70" s="199"/>
      <c r="F70" s="2"/>
    </row>
    <row r="71" spans="1:6" ht="26.25" customHeight="1">
      <c r="A71" s="7"/>
      <c r="B71" s="10"/>
      <c r="C71" s="209"/>
      <c r="D71" s="210"/>
      <c r="E71" s="211"/>
      <c r="F71" s="9"/>
    </row>
    <row r="72" spans="1:6" ht="28.5" customHeight="1">
      <c r="A72" s="7"/>
      <c r="B72" s="10"/>
      <c r="C72" s="209"/>
      <c r="D72" s="210"/>
      <c r="E72" s="211"/>
      <c r="F72" s="9"/>
    </row>
    <row r="73" spans="1:6" ht="27" customHeight="1">
      <c r="A73" s="7"/>
      <c r="B73" s="10"/>
      <c r="C73" s="209"/>
      <c r="D73" s="210"/>
      <c r="E73" s="211"/>
      <c r="F73" s="9"/>
    </row>
    <row r="74" spans="1:6" ht="26.25" customHeight="1">
      <c r="A74" s="7"/>
      <c r="B74" s="10"/>
      <c r="C74" s="209"/>
      <c r="D74" s="210"/>
      <c r="E74" s="211"/>
      <c r="F74" s="9"/>
    </row>
    <row r="75" spans="1:6" ht="15.75">
      <c r="A75" s="7"/>
      <c r="B75" s="10"/>
      <c r="C75" s="143"/>
      <c r="D75" s="144"/>
      <c r="E75" s="145"/>
      <c r="F75" s="11"/>
    </row>
    <row r="76" spans="1:6" ht="15.75">
      <c r="A76" s="7"/>
      <c r="B76" s="10"/>
      <c r="C76" s="209"/>
      <c r="D76" s="210"/>
      <c r="E76" s="211"/>
      <c r="F76" s="9"/>
    </row>
    <row r="77" spans="1:6" ht="15.75">
      <c r="A77" s="7"/>
      <c r="B77" s="12"/>
      <c r="C77" s="209"/>
      <c r="D77" s="210"/>
      <c r="E77" s="211"/>
      <c r="F77" s="9"/>
    </row>
    <row r="78" spans="1:6" ht="27" customHeight="1">
      <c r="A78" s="7"/>
      <c r="B78" s="10"/>
      <c r="C78" s="209"/>
      <c r="D78" s="210"/>
      <c r="E78" s="211"/>
      <c r="F78" s="9"/>
    </row>
    <row r="79" spans="1:6" ht="15.75">
      <c r="A79" s="7"/>
      <c r="B79" s="10"/>
      <c r="C79" s="143"/>
      <c r="D79" s="144"/>
      <c r="E79" s="145"/>
      <c r="F79" s="11"/>
    </row>
    <row r="80" spans="1:6" s="34" customFormat="1" ht="15.75">
      <c r="A80" s="146" t="s">
        <v>36</v>
      </c>
      <c r="B80" s="146"/>
      <c r="C80" s="146"/>
      <c r="D80" s="146"/>
      <c r="E80" s="146"/>
      <c r="F80" s="36">
        <f>SUM(F40:F79)</f>
        <v>39697.97</v>
      </c>
    </row>
  </sheetData>
  <sheetProtection selectLockedCells="1" selectUnlockedCells="1"/>
  <mergeCells count="61">
    <mergeCell ref="A80:E80"/>
    <mergeCell ref="C60:E60"/>
    <mergeCell ref="C64:E64"/>
    <mergeCell ref="C65:E65"/>
    <mergeCell ref="C66:E66"/>
    <mergeCell ref="C45:E45"/>
    <mergeCell ref="C77:E77"/>
    <mergeCell ref="C67:E67"/>
    <mergeCell ref="C70:E70"/>
    <mergeCell ref="C68:E68"/>
    <mergeCell ref="C79:E79"/>
    <mergeCell ref="C78:E78"/>
    <mergeCell ref="C51:E51"/>
    <mergeCell ref="C54:E54"/>
    <mergeCell ref="C48:E48"/>
    <mergeCell ref="C72:E72"/>
    <mergeCell ref="C73:E73"/>
    <mergeCell ref="C74:E74"/>
    <mergeCell ref="C62:E62"/>
    <mergeCell ref="C71:E71"/>
    <mergeCell ref="C76:E76"/>
    <mergeCell ref="C49:E49"/>
    <mergeCell ref="C53:E53"/>
    <mergeCell ref="C52:E52"/>
    <mergeCell ref="C55:E55"/>
    <mergeCell ref="C56:E56"/>
    <mergeCell ref="C63:E63"/>
    <mergeCell ref="C69:E69"/>
    <mergeCell ref="C50:E50"/>
    <mergeCell ref="C61:E61"/>
    <mergeCell ref="C43:E43"/>
    <mergeCell ref="C42:E42"/>
    <mergeCell ref="C41:E41"/>
    <mergeCell ref="C46:E46"/>
    <mergeCell ref="C75:E75"/>
    <mergeCell ref="C57:E57"/>
    <mergeCell ref="C58:E58"/>
    <mergeCell ref="C59:E59"/>
    <mergeCell ref="C47:E47"/>
    <mergeCell ref="C44:E44"/>
    <mergeCell ref="B31:E31"/>
    <mergeCell ref="A35:E35"/>
    <mergeCell ref="A36:E36"/>
    <mergeCell ref="C39:E39"/>
    <mergeCell ref="B32:E32"/>
    <mergeCell ref="C40:E40"/>
    <mergeCell ref="A34:E34"/>
    <mergeCell ref="B25:E25"/>
    <mergeCell ref="B26:E26"/>
    <mergeCell ref="B27:E27"/>
    <mergeCell ref="B28:E28"/>
    <mergeCell ref="B30:E30"/>
    <mergeCell ref="B29:E29"/>
    <mergeCell ref="B23:E23"/>
    <mergeCell ref="B24:E24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2017-02-07T15:16:04Z</cp:lastPrinted>
  <dcterms:created xsi:type="dcterms:W3CDTF">2015-10-12T10:40:12Z</dcterms:created>
  <dcterms:modified xsi:type="dcterms:W3CDTF">2018-03-28T08:49:25Z</dcterms:modified>
  <cp:category/>
  <cp:version/>
  <cp:contentType/>
  <cp:contentStatus/>
</cp:coreProperties>
</file>