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с марта)" sheetId="3" r:id="rId3"/>
    <sheet name="2015" sheetId="4" r:id="rId4"/>
    <sheet name="2015 (январь-октябрь)" sheetId="5" r:id="rId5"/>
    <sheet name="2015 (март-октябрь)" sheetId="6" r:id="rId6"/>
  </sheets>
  <definedNames>
    <definedName name="_xlnm.Print_Area" localSheetId="3">'2015'!$A$1:$F$75</definedName>
    <definedName name="_xlnm.Print_Area" localSheetId="5">'2015 (март-октябрь)'!$A$1:$F$52</definedName>
    <definedName name="_xlnm.Print_Area" localSheetId="2">'2015 (с марта)'!$A$1:$F$48</definedName>
    <definedName name="_xlnm.Print_Area" localSheetId="4">'2015 (январь-октябрь)'!$A$1:$F$57</definedName>
    <definedName name="_xlnm.Print_Area" localSheetId="1">'2016'!$A$1:$F$60</definedName>
  </definedNames>
  <calcPr fullCalcOnLoad="1" refMode="R1C1"/>
</workbook>
</file>

<file path=xl/sharedStrings.xml><?xml version="1.0" encoding="utf-8"?>
<sst xmlns="http://schemas.openxmlformats.org/spreadsheetml/2006/main" count="482" uniqueCount="135">
  <si>
    <t>Начислено</t>
  </si>
  <si>
    <t>Содержание жилья</t>
  </si>
  <si>
    <t>Вывоз ТБО</t>
  </si>
  <si>
    <t>Уборка подъездов</t>
  </si>
  <si>
    <t>Электроэнергия МОП</t>
  </si>
  <si>
    <t>Итого</t>
  </si>
  <si>
    <t>Вид</t>
  </si>
  <si>
    <t>Сумма, рублей</t>
  </si>
  <si>
    <t>Услуги управления</t>
  </si>
  <si>
    <t>Обслуживание ВДГО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</si>
  <si>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</si>
  <si>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</si>
  <si>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</si>
  <si>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</si>
  <si>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</si>
  <si>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Персонифицированный учет МКД  за  2015 г.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</si>
  <si>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</si>
  <si>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</si>
  <si>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</si>
  <si>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</si>
  <si>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</si>
  <si>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</si>
  <si>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</si>
  <si>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</si>
  <si>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</si>
  <si>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</si>
  <si>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</si>
  <si>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Задолженность на 31.12.2015г</t>
  </si>
  <si>
    <t>Расходы по обслуживанию МКД</t>
  </si>
  <si>
    <t>площадь</t>
  </si>
  <si>
    <r>
      <t xml:space="preserve">№ </t>
    </r>
    <r>
      <rPr>
        <b/>
        <sz val="12"/>
        <rFont val="Times New Roman"/>
        <family val="1"/>
      </rPr>
      <t>п/п</t>
    </r>
  </si>
  <si>
    <t>з/п</t>
  </si>
  <si>
    <t>дворника</t>
  </si>
  <si>
    <t>уборщицы</t>
  </si>
  <si>
    <t>Санитарное содержание прилегающей территории</t>
  </si>
  <si>
    <t>Санитарное содержание подъездов</t>
  </si>
  <si>
    <t>Сантехнические работы</t>
  </si>
  <si>
    <t>Электромонтажные работы</t>
  </si>
  <si>
    <t>Общестроительные работы</t>
  </si>
  <si>
    <t>Задолженность населения на 31.12.2015 г., в т.ч.</t>
  </si>
  <si>
    <t>Вид работ</t>
  </si>
  <si>
    <t>Ст-ть работ</t>
  </si>
  <si>
    <t>снятие показаний общедомового прибора учета э/э</t>
  </si>
  <si>
    <t>ИТОГО:</t>
  </si>
  <si>
    <t>Ул. Леонова д. 27, 27А</t>
  </si>
  <si>
    <t>В управлении ООО "УК САМБИЯ" - с 01.06.2012 года</t>
  </si>
  <si>
    <t>Ремонтные работы</t>
  </si>
  <si>
    <t>Осмотр систем водоснабжения, водоотведения, отопления</t>
  </si>
  <si>
    <t>осмотр подвальных и чердачных помещений</t>
  </si>
  <si>
    <t>Осмотр систем водоснабжения, водоотведения, отопления, ремонтные работы</t>
  </si>
  <si>
    <t>осмотр электросетей</t>
  </si>
  <si>
    <t>тариф</t>
  </si>
  <si>
    <t>упр-е</t>
  </si>
  <si>
    <t>двор</t>
  </si>
  <si>
    <t>лк</t>
  </si>
  <si>
    <t>+окос</t>
  </si>
  <si>
    <t>осмотр систем водоснабжения, водоотведения, отопления на предмет утечек</t>
  </si>
  <si>
    <t>май</t>
  </si>
  <si>
    <t>июнь</t>
  </si>
  <si>
    <t>июль</t>
  </si>
  <si>
    <t>арс</t>
  </si>
  <si>
    <t>Персонифицированный учет МКД  за март - октябрь 2015 г.</t>
  </si>
  <si>
    <t>Персонифицированный учет МКД  за  январь - октябрь 2015 г.</t>
  </si>
  <si>
    <t>Задолженность на 31.10.2015г</t>
  </si>
  <si>
    <t>Сальдо на 31.10.2015 г</t>
  </si>
  <si>
    <t>Задолженность населения на 31.10.2015 г., в т.ч.</t>
  </si>
  <si>
    <t>за содержание жилья</t>
  </si>
  <si>
    <t>Аварийно-ремонтная служба</t>
  </si>
  <si>
    <t>Всего работ за период:</t>
  </si>
  <si>
    <t>смена дверных приборов в МОП</t>
  </si>
  <si>
    <t>Сальдо на 01.01.2016 г. (по начислению)</t>
  </si>
  <si>
    <t>Справочно: финансовый результат с учетом задолженности</t>
  </si>
  <si>
    <t>Услуги аварийной службы</t>
  </si>
  <si>
    <t>В управлении ООО "УК САМБИЯ" - с 01.03.2015 года</t>
  </si>
  <si>
    <t xml:space="preserve">Остаток на 01.03.2015 г. </t>
  </si>
  <si>
    <t>Задолженность на 01.03.2015 г.</t>
  </si>
  <si>
    <t>Задолженность на 01.03.2015</t>
  </si>
  <si>
    <t>Задолженность населения на 31.12.2015 г.</t>
  </si>
  <si>
    <t>ежемесячно</t>
  </si>
  <si>
    <t>снятие показаний приборов учета электроэнергии</t>
  </si>
  <si>
    <t>осмотр систем водоснабжения, водоотведения, отопления, ремонтные работы</t>
  </si>
  <si>
    <t>осмотр систем водоснабжения, водоотведения, отопления</t>
  </si>
  <si>
    <t>Снятие показаний приборов учета электроэнергии</t>
  </si>
  <si>
    <t>Сальдо на 31.12.2015 г. (по начислению)</t>
  </si>
  <si>
    <t>Санитарное содержание придомовой территории</t>
  </si>
  <si>
    <t>Материалы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</si>
  <si>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</si>
  <si>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</si>
  <si>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</si>
  <si>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</si>
  <si>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</si>
  <si>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 (по начислению)</t>
  </si>
  <si>
    <t>Задолженность населения на 31.12.2016 г.</t>
  </si>
  <si>
    <t>Осмотр чердачных и подвальных помещений, сис.водоснабжения</t>
  </si>
  <si>
    <t>Осмотр электрических сетей, смена ламп накаливания</t>
  </si>
  <si>
    <t>Ремонт групповых щитков</t>
  </si>
  <si>
    <t>Прокладка и очистка внутренних трубопроводов</t>
  </si>
  <si>
    <t>Осмотр электрических сетей</t>
  </si>
  <si>
    <t>Пломбировка счетчика</t>
  </si>
  <si>
    <t>Водоотлив вручную (очистка колодца)</t>
  </si>
  <si>
    <t>Осмотр чердачных и подвальных помещений</t>
  </si>
  <si>
    <t>Аварийка</t>
  </si>
  <si>
    <t>Прокладка трубопроводов водоснабжения</t>
  </si>
  <si>
    <t>Трубо-печные работы</t>
  </si>
  <si>
    <t xml:space="preserve">Обследование электрических сетей 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</si>
  <si>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</si>
  <si>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</si>
  <si>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</si>
  <si>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</si>
  <si>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</si>
  <si>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 (по начислению)</t>
  </si>
  <si>
    <t>Задолженность населения на 31.12.2017 г.</t>
  </si>
  <si>
    <t>покос  входит</t>
  </si>
  <si>
    <t>кгм нет</t>
  </si>
  <si>
    <t>Хол.вода на соид</t>
  </si>
  <si>
    <t>Водоотведение на соид</t>
  </si>
  <si>
    <t>Электроэнергия на соид</t>
  </si>
  <si>
    <t>Ремонт силового предохранительного шкафа</t>
  </si>
  <si>
    <t>Обследование электрических сетей.</t>
  </si>
  <si>
    <t>Обследование электрических сетей. Смена ламп накаливания. Ремонт патронов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</si>
  <si>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</si>
  <si>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Очистка канализационной сети</t>
  </si>
  <si>
    <t>Разовый вывоз КГМ</t>
  </si>
  <si>
    <t>31.05.201</t>
  </si>
  <si>
    <t>Покос</t>
  </si>
  <si>
    <t>31.07.201</t>
  </si>
  <si>
    <t>Ремонт э/м замка, установка доводчика</t>
  </si>
  <si>
    <t>Аварийные работы. Засор канализации</t>
  </si>
  <si>
    <t>Аварийные работы. Искрит в элщите</t>
  </si>
  <si>
    <t>Аварийные работы. Нет света</t>
  </si>
  <si>
    <t>Аварийные работы. Течь ХВС</t>
  </si>
  <si>
    <t>Аварийные работы</t>
  </si>
  <si>
    <t>Промывка труб канализационной системы</t>
  </si>
  <si>
    <t>Санитарное содержание прилегающей территории, вывоз КГМ</t>
  </si>
  <si>
    <t>ежемесячно с 01.01.2017 по 31.07.2017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</si>
</sst>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0.0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4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4" fontId="3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3" fillId="39" borderId="10" xfId="0" applyFont="1" applyFill="1" applyBorder="1" applyAlignment="1">
      <alignment horizontal="center" vertical="center"/>
    </xf>
    <xf numFmtId="14" fontId="3" fillId="39" borderId="10" xfId="0" applyNumberFormat="1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>
      <alignment horizontal="center" vertical="center"/>
    </xf>
    <xf numFmtId="0" fontId="1" fillId="39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14" fontId="3" fillId="40" borderId="10" xfId="0" applyNumberFormat="1" applyFont="1" applyFill="1" applyBorder="1" applyAlignment="1">
      <alignment horizontal="center" vertical="center"/>
    </xf>
    <xf numFmtId="4" fontId="3" fillId="40" borderId="10" xfId="0" applyNumberFormat="1" applyFont="1" applyFill="1" applyBorder="1" applyAlignment="1">
      <alignment horizontal="center" vertical="center"/>
    </xf>
    <xf numFmtId="0" fontId="1" fillId="4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center"/>
    </xf>
    <xf numFmtId="14" fontId="3" fillId="41" borderId="10" xfId="0" applyNumberFormat="1" applyFont="1" applyFill="1" applyBorder="1" applyAlignment="1">
      <alignment horizontal="center" vertical="center"/>
    </xf>
    <xf numFmtId="4" fontId="3" fillId="41" borderId="10" xfId="0" applyNumberFormat="1" applyFont="1" applyFill="1" applyBorder="1" applyAlignment="1">
      <alignment horizontal="center" vertical="center"/>
    </xf>
    <xf numFmtId="2" fontId="3" fillId="41" borderId="10" xfId="0" applyNumberFormat="1" applyFont="1" applyFill="1" applyBorder="1" applyAlignment="1">
      <alignment horizontal="center" vertical="center"/>
    </xf>
    <xf numFmtId="14" fontId="3" fillId="42" borderId="10" xfId="0" applyNumberFormat="1" applyFont="1" applyFill="1" applyBorder="1" applyAlignment="1">
      <alignment horizontal="center" vertical="center"/>
    </xf>
    <xf numFmtId="4" fontId="3" fillId="42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4" fontId="1" fillId="33" borderId="17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43" borderId="10" xfId="0" applyNumberFormat="1" applyFont="1" applyFill="1" applyBorder="1" applyAlignment="1">
      <alignment horizontal="center" vertical="center"/>
    </xf>
    <xf numFmtId="4" fontId="3" fillId="44" borderId="10" xfId="0" applyNumberFormat="1" applyFont="1" applyFill="1" applyBorder="1" applyAlignment="1">
      <alignment horizontal="center" vertical="center"/>
    </xf>
    <xf numFmtId="4" fontId="3" fillId="45" borderId="10" xfId="0" applyNumberFormat="1" applyFont="1" applyFill="1" applyBorder="1" applyAlignment="1">
      <alignment horizontal="center" vertical="center"/>
    </xf>
    <xf numFmtId="4" fontId="3" fillId="46" borderId="1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3" fillId="46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3" fillId="4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3" fillId="33" borderId="24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24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3" fillId="49" borderId="24" xfId="0" applyFont="1" applyFill="1" applyBorder="1" applyAlignment="1">
      <alignment horizontal="left" vertical="center" wrapText="1"/>
    </xf>
    <xf numFmtId="0" fontId="3" fillId="49" borderId="25" xfId="0" applyFont="1" applyFill="1" applyBorder="1" applyAlignment="1">
      <alignment horizontal="left" vertical="center" wrapText="1"/>
    </xf>
    <xf numFmtId="0" fontId="3" fillId="49" borderId="16" xfId="0" applyFont="1" applyFill="1" applyBorder="1" applyAlignment="1">
      <alignment horizontal="left" vertical="center" wrapText="1"/>
    </xf>
    <xf numFmtId="0" fontId="3" fillId="41" borderId="24" xfId="0" applyFont="1" applyFill="1" applyBorder="1" applyAlignment="1">
      <alignment horizontal="left" vertical="center" wrapText="1"/>
    </xf>
    <xf numFmtId="0" fontId="3" fillId="41" borderId="25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 wrapText="1"/>
    </xf>
    <xf numFmtId="0" fontId="3" fillId="42" borderId="24" xfId="0" applyFont="1" applyFill="1" applyBorder="1" applyAlignment="1">
      <alignment horizontal="left" vertical="center" wrapText="1"/>
    </xf>
    <xf numFmtId="0" fontId="3" fillId="42" borderId="25" xfId="0" applyFont="1" applyFill="1" applyBorder="1" applyAlignment="1">
      <alignment horizontal="left" vertical="center" wrapText="1"/>
    </xf>
    <xf numFmtId="0" fontId="3" fillId="42" borderId="16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40" borderId="24" xfId="0" applyFont="1" applyFill="1" applyBorder="1" applyAlignment="1">
      <alignment horizontal="left" vertical="center" wrapText="1"/>
    </xf>
    <xf numFmtId="0" fontId="3" fillId="40" borderId="25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8" borderId="24" xfId="0" applyFont="1" applyFill="1" applyBorder="1" applyAlignment="1">
      <alignment horizontal="left"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3" fillId="38" borderId="1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49" borderId="24" xfId="0" applyFont="1" applyFill="1" applyBorder="1" applyAlignment="1">
      <alignment vertical="center" wrapText="1"/>
    </xf>
    <xf numFmtId="0" fontId="3" fillId="49" borderId="25" xfId="0" applyFont="1" applyFill="1" applyBorder="1" applyAlignment="1">
      <alignment vertical="center" wrapText="1"/>
    </xf>
    <xf numFmtId="0" fontId="3" fillId="49" borderId="16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50" borderId="24" xfId="0" applyFont="1" applyFill="1" applyBorder="1" applyAlignment="1">
      <alignment vertical="center" wrapText="1"/>
    </xf>
    <xf numFmtId="0" fontId="3" fillId="50" borderId="25" xfId="0" applyFont="1" applyFill="1" applyBorder="1" applyAlignment="1">
      <alignment vertical="center" wrapText="1"/>
    </xf>
    <xf numFmtId="0" fontId="3" fillId="50" borderId="16" xfId="0" applyFont="1" applyFill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51" borderId="24" xfId="0" applyFont="1" applyFill="1" applyBorder="1" applyAlignment="1">
      <alignment vertical="center" wrapText="1"/>
    </xf>
    <xf numFmtId="0" fontId="3" fillId="51" borderId="25" xfId="0" applyFont="1" applyFill="1" applyBorder="1" applyAlignment="1">
      <alignment vertical="center" wrapText="1"/>
    </xf>
    <xf numFmtId="0" fontId="3" fillId="51" borderId="16" xfId="0" applyFont="1" applyFill="1" applyBorder="1" applyAlignment="1">
      <alignment vertical="center" wrapText="1"/>
    </xf>
    <xf numFmtId="0" fontId="3" fillId="52" borderId="24" xfId="0" applyFont="1" applyFill="1" applyBorder="1" applyAlignment="1">
      <alignment vertical="center" wrapText="1"/>
    </xf>
    <xf numFmtId="0" fontId="3" fillId="52" borderId="25" xfId="0" applyFont="1" applyFill="1" applyBorder="1" applyAlignment="1">
      <alignment vertical="center" wrapText="1"/>
    </xf>
    <xf numFmtId="0" fontId="3" fillId="52" borderId="1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53" borderId="24" xfId="0" applyFont="1" applyFill="1" applyBorder="1" applyAlignment="1">
      <alignment vertical="center" wrapText="1"/>
    </xf>
    <xf numFmtId="0" fontId="3" fillId="53" borderId="25" xfId="0" applyFont="1" applyFill="1" applyBorder="1" applyAlignment="1">
      <alignment vertical="center" wrapText="1"/>
    </xf>
    <xf numFmtId="0" fontId="3" fillId="53" borderId="16" xfId="0" applyFont="1" applyFill="1" applyBorder="1" applyAlignment="1">
      <alignment vertical="center" wrapText="1"/>
    </xf>
    <xf numFmtId="0" fontId="3" fillId="54" borderId="24" xfId="0" applyFont="1" applyFill="1" applyBorder="1" applyAlignment="1">
      <alignment vertical="center" wrapText="1"/>
    </xf>
    <xf numFmtId="0" fontId="3" fillId="54" borderId="25" xfId="0" applyFont="1" applyFill="1" applyBorder="1" applyAlignment="1">
      <alignment vertical="center" wrapText="1"/>
    </xf>
    <xf numFmtId="0" fontId="3" fillId="54" borderId="16" xfId="0" applyFont="1" applyFill="1" applyBorder="1" applyAlignment="1">
      <alignment vertical="center" wrapText="1"/>
    </xf>
    <xf numFmtId="0" fontId="3" fillId="55" borderId="24" xfId="0" applyFont="1" applyFill="1" applyBorder="1" applyAlignment="1">
      <alignment vertical="center" wrapText="1"/>
    </xf>
    <xf numFmtId="0" fontId="3" fillId="55" borderId="25" xfId="0" applyFont="1" applyFill="1" applyBorder="1" applyAlignment="1">
      <alignment vertical="center" wrapText="1"/>
    </xf>
    <xf numFmtId="0" fontId="3" fillId="55" borderId="16" xfId="0" applyFont="1" applyFill="1" applyBorder="1" applyAlignment="1">
      <alignment vertical="center" wrapText="1"/>
    </xf>
    <xf numFmtId="0" fontId="3" fillId="56" borderId="24" xfId="0" applyFont="1" applyFill="1" applyBorder="1" applyAlignment="1">
      <alignment vertical="center" wrapText="1"/>
    </xf>
    <xf numFmtId="0" fontId="3" fillId="56" borderId="25" xfId="0" applyFont="1" applyFill="1" applyBorder="1" applyAlignment="1">
      <alignment vertical="center" wrapText="1"/>
    </xf>
    <xf numFmtId="0" fontId="3" fillId="56" borderId="16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29">
      <selection activeCell="F29" sqref="F29"/>
    </sheetView>
  </sheetViews>
  <sheetFormatPr defaultColWidth="9.140625" defaultRowHeight="12.75" outlineLevelRow="1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52" t="s">
        <v>105</v>
      </c>
      <c r="B1" s="152"/>
      <c r="C1" s="152"/>
      <c r="D1" s="152"/>
      <c r="E1" s="152"/>
      <c r="F1" s="152"/>
      <c r="G1" s="92"/>
    </row>
    <row r="2" spans="1:6" ht="15.75">
      <c r="A2" s="152" t="s">
        <v>44</v>
      </c>
      <c r="B2" s="152"/>
      <c r="C2" s="152"/>
      <c r="D2" s="152"/>
      <c r="E2" s="152"/>
      <c r="F2" s="152"/>
    </row>
    <row r="3" ht="12" customHeight="1"/>
    <row r="4" spans="2:6" ht="15.75" hidden="1" outlineLevel="1">
      <c r="B4" s="6" t="s">
        <v>73</v>
      </c>
      <c r="C4" s="6"/>
      <c r="D4" s="6"/>
      <c r="E4" s="6"/>
      <c r="F4" s="6"/>
    </row>
    <row r="5" spans="2:6" ht="12.75" customHeight="1" outlineLevel="1">
      <c r="B5" s="6" t="s">
        <v>16</v>
      </c>
      <c r="C5" s="6"/>
      <c r="D5" s="6">
        <v>3127.11</v>
      </c>
      <c r="E5" s="6" t="s">
        <v>17</v>
      </c>
      <c r="F5" s="6"/>
    </row>
    <row r="6" ht="9" customHeight="1"/>
    <row r="7" spans="2:6" ht="15.75">
      <c r="B7" s="3" t="s">
        <v>106</v>
      </c>
      <c r="C7" s="3"/>
      <c r="D7" s="7">
        <f>'2016'!F33</f>
        <v>339824.9722</v>
      </c>
      <c r="E7" s="3" t="s">
        <v>22</v>
      </c>
      <c r="F7" s="3"/>
    </row>
    <row r="8" spans="2:6" ht="15.75">
      <c r="B8" s="3" t="s">
        <v>107</v>
      </c>
      <c r="C8" s="6"/>
      <c r="D8" s="8">
        <f>C17</f>
        <v>-270375.5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28.5" customHeight="1">
      <c r="A10" s="91" t="s">
        <v>23</v>
      </c>
      <c r="B10" s="11" t="s">
        <v>24</v>
      </c>
      <c r="C10" s="12" t="s">
        <v>108</v>
      </c>
      <c r="D10" s="12" t="s">
        <v>0</v>
      </c>
      <c r="E10" s="12" t="s">
        <v>26</v>
      </c>
      <c r="F10" s="12" t="s">
        <v>109</v>
      </c>
    </row>
    <row r="11" spans="1:9" s="16" customFormat="1" ht="30" customHeight="1">
      <c r="A11" s="91">
        <v>1</v>
      </c>
      <c r="B11" s="13" t="s">
        <v>1</v>
      </c>
      <c r="C11" s="14">
        <v>-209327.18</v>
      </c>
      <c r="D11" s="14">
        <f>205498.56-8115.51+218654.95-19.13+606.48</f>
        <v>416625.35</v>
      </c>
      <c r="E11" s="14">
        <f>148195.19+212263.78</f>
        <v>360458.97</v>
      </c>
      <c r="F11" s="14">
        <f aca="true" t="shared" si="0" ref="F11:F16">C11-D11+E11</f>
        <v>-265493.56000000006</v>
      </c>
      <c r="G11" s="3" t="s">
        <v>51</v>
      </c>
      <c r="H11" s="4">
        <v>11.32</v>
      </c>
      <c r="I11" s="77">
        <f>H11*10*I22</f>
        <v>353988.852</v>
      </c>
    </row>
    <row r="12" spans="1:9" s="16" customFormat="1" ht="30" customHeight="1">
      <c r="A12" s="91">
        <v>2</v>
      </c>
      <c r="B12" s="13" t="s">
        <v>2</v>
      </c>
      <c r="C12" s="14">
        <v>-37908.26000000002</v>
      </c>
      <c r="D12" s="14">
        <f>37214.88+39597.56-3.46+109.81</f>
        <v>76918.79</v>
      </c>
      <c r="E12" s="14">
        <f>27859.17+38254.94</f>
        <v>66114.11</v>
      </c>
      <c r="F12" s="14">
        <f t="shared" si="0"/>
        <v>-48712.94000000002</v>
      </c>
      <c r="G12" s="2" t="s">
        <v>52</v>
      </c>
      <c r="H12" s="2">
        <v>3.12</v>
      </c>
      <c r="I12" s="77">
        <f>H12*12*I22</f>
        <v>117078.9984</v>
      </c>
    </row>
    <row r="13" spans="1:9" s="16" customFormat="1" ht="29.25" customHeight="1">
      <c r="A13" s="91">
        <v>3</v>
      </c>
      <c r="B13" s="13" t="s">
        <v>3</v>
      </c>
      <c r="C13" s="14">
        <v>-23140.05999999999</v>
      </c>
      <c r="D13" s="14">
        <f>20170.44+24760.53+1.56</f>
        <v>44932.53</v>
      </c>
      <c r="E13" s="14">
        <f>24161.53+13624.98</f>
        <v>37786.509999999995</v>
      </c>
      <c r="F13" s="14">
        <f t="shared" si="0"/>
        <v>-30286.08</v>
      </c>
      <c r="G13" s="6" t="s">
        <v>53</v>
      </c>
      <c r="H13" s="2">
        <f>2.35</f>
        <v>2.35</v>
      </c>
      <c r="I13" s="77">
        <f>H13*12*I22</f>
        <v>88184.50200000001</v>
      </c>
    </row>
    <row r="14" spans="1:9" s="16" customFormat="1" ht="29.25" customHeight="1">
      <c r="A14" s="91">
        <v>4</v>
      </c>
      <c r="B14" s="13" t="s">
        <v>114</v>
      </c>
      <c r="C14" s="106">
        <v>0</v>
      </c>
      <c r="D14" s="107">
        <f>401.96-33.24+0.84+1267.92-503.44+10.64</f>
        <v>1144.68</v>
      </c>
      <c r="E14" s="107">
        <f>236.9+779.91</f>
        <v>1016.81</v>
      </c>
      <c r="F14" s="108">
        <f t="shared" si="0"/>
        <v>-127.87000000000012</v>
      </c>
      <c r="G14" s="6"/>
      <c r="H14" s="2"/>
      <c r="I14" s="77"/>
    </row>
    <row r="15" spans="1:9" s="16" customFormat="1" ht="29.25" customHeight="1">
      <c r="A15" s="91">
        <v>5</v>
      </c>
      <c r="B15" s="13" t="s">
        <v>115</v>
      </c>
      <c r="C15" s="106">
        <v>0</v>
      </c>
      <c r="D15" s="107">
        <f>587.52-170.46+210.08-11.28</f>
        <v>615.86</v>
      </c>
      <c r="E15" s="107">
        <f>296.3+118.85</f>
        <v>415.15</v>
      </c>
      <c r="F15" s="108">
        <f t="shared" si="0"/>
        <v>-200.71000000000004</v>
      </c>
      <c r="G15" s="6"/>
      <c r="H15" s="105" t="s">
        <v>112</v>
      </c>
      <c r="I15" s="77"/>
    </row>
    <row r="16" spans="1:9" s="16" customFormat="1" ht="29.25" customHeight="1">
      <c r="A16" s="91">
        <v>6</v>
      </c>
      <c r="B16" s="13" t="s">
        <v>116</v>
      </c>
      <c r="C16" s="106">
        <v>0</v>
      </c>
      <c r="D16" s="107">
        <f>41798.46-26228.63+11.12+12989.35-12989.35+8115.51</f>
        <v>23696.46</v>
      </c>
      <c r="E16" s="107">
        <f>8352.49+26942.47</f>
        <v>35294.96</v>
      </c>
      <c r="F16" s="108">
        <f t="shared" si="0"/>
        <v>11598.5</v>
      </c>
      <c r="G16" s="6"/>
      <c r="H16" s="105" t="s">
        <v>113</v>
      </c>
      <c r="I16" s="77"/>
    </row>
    <row r="17" spans="1:9" s="16" customFormat="1" ht="30" customHeight="1">
      <c r="A17" s="91"/>
      <c r="B17" s="13" t="s">
        <v>5</v>
      </c>
      <c r="C17" s="14">
        <f>SUM(C11:C16)</f>
        <v>-270375.5</v>
      </c>
      <c r="D17" s="14">
        <f>SUM(D11:D16)</f>
        <v>563933.6699999999</v>
      </c>
      <c r="E17" s="14">
        <f>SUM(E11:E16)</f>
        <v>501086.51</v>
      </c>
      <c r="F17" s="14">
        <f>SUM(F11:F16)</f>
        <v>-333222.6600000001</v>
      </c>
      <c r="G17" s="6" t="s">
        <v>54</v>
      </c>
      <c r="H17" s="2">
        <v>1.32</v>
      </c>
      <c r="I17" s="77">
        <f>H17*12*I22</f>
        <v>49533.4224</v>
      </c>
    </row>
    <row r="18" ht="26.25" customHeight="1"/>
    <row r="19" spans="1:6" ht="11.25" customHeight="1">
      <c r="A19" s="152" t="s">
        <v>28</v>
      </c>
      <c r="B19" s="152"/>
      <c r="C19" s="152"/>
      <c r="D19" s="152"/>
      <c r="E19" s="152"/>
      <c r="F19" s="152"/>
    </row>
    <row r="20" spans="1:6" ht="15.75">
      <c r="A20" s="92"/>
      <c r="B20" s="92"/>
      <c r="C20" s="92"/>
      <c r="D20" s="92"/>
      <c r="E20" s="92"/>
      <c r="F20" s="92"/>
    </row>
    <row r="21" spans="1:10" ht="31.5">
      <c r="A21" s="12" t="s">
        <v>30</v>
      </c>
      <c r="B21" s="153" t="s">
        <v>6</v>
      </c>
      <c r="C21" s="153"/>
      <c r="D21" s="153"/>
      <c r="E21" s="153"/>
      <c r="F21" s="17" t="s">
        <v>7</v>
      </c>
      <c r="I21" s="154" t="s">
        <v>29</v>
      </c>
      <c r="J21" s="154"/>
    </row>
    <row r="22" spans="1:10" ht="15.75">
      <c r="A22" s="99">
        <v>1</v>
      </c>
      <c r="B22" s="155" t="s">
        <v>8</v>
      </c>
      <c r="C22" s="155"/>
      <c r="D22" s="155"/>
      <c r="E22" s="155"/>
      <c r="F22" s="100">
        <f>I12</f>
        <v>117078.9984</v>
      </c>
      <c r="G22" s="18"/>
      <c r="I22" s="11">
        <f>D5</f>
        <v>3127.11</v>
      </c>
      <c r="J22" s="11"/>
    </row>
    <row r="23" spans="1:10" ht="18" customHeight="1">
      <c r="A23" s="101">
        <v>2</v>
      </c>
      <c r="B23" s="147" t="s">
        <v>9</v>
      </c>
      <c r="C23" s="147"/>
      <c r="D23" s="147"/>
      <c r="E23" s="147"/>
      <c r="F23" s="102">
        <f>0.24*9*I22+0.71*3*I22</f>
        <v>13415.301900000002</v>
      </c>
      <c r="G23" s="6"/>
      <c r="H23" s="2" t="s">
        <v>31</v>
      </c>
      <c r="I23" s="11" t="s">
        <v>32</v>
      </c>
      <c r="J23" s="11" t="s">
        <v>33</v>
      </c>
    </row>
    <row r="24" spans="1:10" ht="30" customHeight="1">
      <c r="A24" s="101">
        <v>3</v>
      </c>
      <c r="B24" s="147" t="s">
        <v>133</v>
      </c>
      <c r="C24" s="147"/>
      <c r="D24" s="147"/>
      <c r="E24" s="147"/>
      <c r="F24" s="102">
        <f>I13+F62+F63</f>
        <v>93784.50200000001</v>
      </c>
      <c r="G24" s="6"/>
      <c r="I24" s="11">
        <v>4022</v>
      </c>
      <c r="J24" s="11">
        <v>3043</v>
      </c>
    </row>
    <row r="25" spans="1:10" ht="18" customHeight="1">
      <c r="A25" s="101">
        <v>4</v>
      </c>
      <c r="B25" s="147" t="s">
        <v>35</v>
      </c>
      <c r="C25" s="147"/>
      <c r="D25" s="147"/>
      <c r="E25" s="147"/>
      <c r="F25" s="102">
        <f>D13</f>
        <v>44932.53</v>
      </c>
      <c r="I25" s="11">
        <f>I24*12</f>
        <v>48264</v>
      </c>
      <c r="J25" s="11">
        <f>J24*12</f>
        <v>36516</v>
      </c>
    </row>
    <row r="26" spans="1:11" ht="18" customHeight="1">
      <c r="A26" s="101">
        <v>5</v>
      </c>
      <c r="B26" s="147" t="s">
        <v>10</v>
      </c>
      <c r="C26" s="147"/>
      <c r="D26" s="147"/>
      <c r="E26" s="147"/>
      <c r="F26" s="102">
        <f>F27+F28+F29+F30</f>
        <v>26348</v>
      </c>
      <c r="G26" s="77">
        <f>F71</f>
        <v>1500</v>
      </c>
      <c r="I26" s="93"/>
      <c r="J26" s="6"/>
      <c r="K26" s="6"/>
    </row>
    <row r="27" spans="1:11" ht="18" customHeight="1">
      <c r="A27" s="101" t="s">
        <v>11</v>
      </c>
      <c r="B27" s="147" t="s">
        <v>36</v>
      </c>
      <c r="C27" s="147"/>
      <c r="D27" s="147"/>
      <c r="E27" s="147"/>
      <c r="F27" s="102">
        <f>F52+F53+F54+F55+F56+F57+F58+F59+F60+F61</f>
        <v>7464</v>
      </c>
      <c r="I27" s="6"/>
      <c r="J27" s="6"/>
      <c r="K27" s="6"/>
    </row>
    <row r="28" spans="1:11" ht="16.5" customHeight="1">
      <c r="A28" s="101" t="s">
        <v>11</v>
      </c>
      <c r="B28" s="147" t="s">
        <v>37</v>
      </c>
      <c r="C28" s="147"/>
      <c r="D28" s="147"/>
      <c r="E28" s="147"/>
      <c r="F28" s="102">
        <f>F45+F46+F47+F48+F49+F50+F51</f>
        <v>13484</v>
      </c>
      <c r="I28" s="6"/>
      <c r="J28" s="6"/>
      <c r="K28" s="6"/>
    </row>
    <row r="29" spans="1:11" ht="16.5" customHeight="1">
      <c r="A29" s="101" t="s">
        <v>11</v>
      </c>
      <c r="B29" s="147" t="s">
        <v>38</v>
      </c>
      <c r="C29" s="147"/>
      <c r="D29" s="147"/>
      <c r="E29" s="147"/>
      <c r="F29" s="102">
        <f>F73</f>
        <v>3000</v>
      </c>
      <c r="G29" s="8"/>
      <c r="I29" s="6"/>
      <c r="J29" s="6"/>
      <c r="K29" s="6"/>
    </row>
    <row r="30" spans="1:11" ht="16.5" customHeight="1">
      <c r="A30" s="101" t="s">
        <v>11</v>
      </c>
      <c r="B30" s="147" t="s">
        <v>132</v>
      </c>
      <c r="C30" s="147"/>
      <c r="D30" s="147"/>
      <c r="E30" s="147"/>
      <c r="F30" s="102">
        <f>F72</f>
        <v>2400</v>
      </c>
      <c r="I30" s="6"/>
      <c r="J30" s="6"/>
      <c r="K30" s="6"/>
    </row>
    <row r="31" spans="1:11" ht="17.25" customHeight="1">
      <c r="A31" s="101">
        <v>6</v>
      </c>
      <c r="B31" s="135" t="s">
        <v>72</v>
      </c>
      <c r="C31" s="135"/>
      <c r="D31" s="135"/>
      <c r="E31" s="135"/>
      <c r="F31" s="102">
        <f>F66+F67+F68+F69+F70+F71</f>
        <v>6242</v>
      </c>
      <c r="G31" s="6"/>
      <c r="I31" s="6"/>
      <c r="J31" s="6"/>
      <c r="K31" s="6"/>
    </row>
    <row r="32" spans="1:11" ht="17.25" customHeight="1">
      <c r="A32" s="101">
        <v>7</v>
      </c>
      <c r="B32" s="135" t="s">
        <v>2</v>
      </c>
      <c r="C32" s="135"/>
      <c r="D32" s="135"/>
      <c r="E32" s="135"/>
      <c r="F32" s="102">
        <f>D12</f>
        <v>76918.79</v>
      </c>
      <c r="G32" s="6"/>
      <c r="I32" s="6"/>
      <c r="J32" s="6"/>
      <c r="K32" s="6"/>
    </row>
    <row r="33" spans="1:11" ht="17.25" customHeight="1">
      <c r="A33" s="101">
        <v>8</v>
      </c>
      <c r="B33" s="148" t="s">
        <v>85</v>
      </c>
      <c r="C33" s="149"/>
      <c r="D33" s="149"/>
      <c r="E33" s="150"/>
      <c r="F33" s="102">
        <v>0</v>
      </c>
      <c r="G33" s="6"/>
      <c r="I33" s="6"/>
      <c r="J33" s="6"/>
      <c r="K33" s="6"/>
    </row>
    <row r="34" spans="1:11" ht="17.25" customHeight="1">
      <c r="A34" s="22">
        <v>7</v>
      </c>
      <c r="B34" s="135" t="s">
        <v>114</v>
      </c>
      <c r="C34" s="135"/>
      <c r="D34" s="135"/>
      <c r="E34" s="135"/>
      <c r="F34" s="24">
        <f>D14</f>
        <v>1144.68</v>
      </c>
      <c r="G34" s="6"/>
      <c r="I34" s="6"/>
      <c r="J34" s="6"/>
      <c r="K34" s="6"/>
    </row>
    <row r="35" spans="1:11" ht="17.25" customHeight="1">
      <c r="A35" s="22">
        <v>8</v>
      </c>
      <c r="B35" s="135" t="s">
        <v>115</v>
      </c>
      <c r="C35" s="135"/>
      <c r="D35" s="135"/>
      <c r="E35" s="135"/>
      <c r="F35" s="24">
        <f>D15</f>
        <v>615.86</v>
      </c>
      <c r="G35" s="6"/>
      <c r="I35" s="6"/>
      <c r="J35" s="6"/>
      <c r="K35" s="6"/>
    </row>
    <row r="36" spans="1:11" ht="17.25" customHeight="1">
      <c r="A36" s="22">
        <v>9</v>
      </c>
      <c r="B36" s="135" t="s">
        <v>116</v>
      </c>
      <c r="C36" s="135"/>
      <c r="D36" s="135"/>
      <c r="E36" s="135"/>
      <c r="F36" s="24">
        <f>D16</f>
        <v>23696.46</v>
      </c>
      <c r="G36" s="6"/>
      <c r="I36" s="6"/>
      <c r="J36" s="6"/>
      <c r="K36" s="6"/>
    </row>
    <row r="37" spans="1:11" ht="17.25" customHeight="1">
      <c r="A37" s="103"/>
      <c r="B37" s="151" t="s">
        <v>12</v>
      </c>
      <c r="C37" s="151"/>
      <c r="D37" s="151"/>
      <c r="E37" s="151"/>
      <c r="F37" s="104">
        <f>F22+F24+F25+F26+F32+F31+F23+F33+F34+F35+F36</f>
        <v>404177.12230000005</v>
      </c>
      <c r="G37" s="6"/>
      <c r="I37" s="6"/>
      <c r="J37" s="6"/>
      <c r="K37" s="6"/>
    </row>
    <row r="38" spans="1:11" s="27" customFormat="1" ht="17.25" customHeight="1">
      <c r="A38" s="5"/>
      <c r="B38" s="2"/>
      <c r="C38" s="2"/>
      <c r="D38" s="2"/>
      <c r="E38" s="2"/>
      <c r="F38" s="2"/>
      <c r="G38" s="3"/>
      <c r="I38" s="3"/>
      <c r="J38" s="3"/>
      <c r="K38" s="3"/>
    </row>
    <row r="39" spans="1:11" ht="15.75">
      <c r="A39" s="142" t="s">
        <v>110</v>
      </c>
      <c r="B39" s="142"/>
      <c r="C39" s="142"/>
      <c r="D39" s="142"/>
      <c r="E39" s="142"/>
      <c r="F39" s="24">
        <f>D17-F37+D7</f>
        <v>499581.5198999999</v>
      </c>
      <c r="I39" s="6"/>
      <c r="J39" s="6"/>
      <c r="K39" s="6"/>
    </row>
    <row r="40" spans="1:11" ht="18" customHeight="1">
      <c r="A40" s="142" t="s">
        <v>111</v>
      </c>
      <c r="B40" s="142"/>
      <c r="C40" s="142"/>
      <c r="D40" s="142"/>
      <c r="E40" s="142"/>
      <c r="F40" s="24">
        <f>F17</f>
        <v>-333222.6600000001</v>
      </c>
      <c r="I40" s="6"/>
      <c r="J40" s="6"/>
      <c r="K40" s="6"/>
    </row>
    <row r="41" spans="1:6" ht="15.75">
      <c r="A41" s="143" t="s">
        <v>71</v>
      </c>
      <c r="B41" s="143"/>
      <c r="C41" s="143"/>
      <c r="D41" s="143"/>
      <c r="E41" s="143"/>
      <c r="F41" s="24">
        <f>F40+F39</f>
        <v>166358.8598999998</v>
      </c>
    </row>
    <row r="42" ht="18" customHeight="1"/>
    <row r="43" ht="19.5" customHeight="1"/>
    <row r="44" spans="1:6" ht="15.75">
      <c r="A44" s="109" t="s">
        <v>23</v>
      </c>
      <c r="B44" s="109" t="s">
        <v>14</v>
      </c>
      <c r="C44" s="144" t="s">
        <v>40</v>
      </c>
      <c r="D44" s="145"/>
      <c r="E44" s="146"/>
      <c r="F44" s="109" t="s">
        <v>41</v>
      </c>
    </row>
    <row r="45" spans="1:6" ht="45">
      <c r="A45" s="109"/>
      <c r="B45" s="217" t="s">
        <v>134</v>
      </c>
      <c r="C45" s="139" t="s">
        <v>42</v>
      </c>
      <c r="D45" s="140"/>
      <c r="E45" s="141"/>
      <c r="F45" s="111">
        <f>170*7</f>
        <v>1190</v>
      </c>
    </row>
    <row r="46" spans="1:6" ht="28.5" customHeight="1">
      <c r="A46" s="109"/>
      <c r="B46" s="110">
        <v>42793</v>
      </c>
      <c r="C46" s="139" t="s">
        <v>117</v>
      </c>
      <c r="D46" s="140"/>
      <c r="E46" s="141"/>
      <c r="F46" s="111">
        <v>8240</v>
      </c>
    </row>
    <row r="47" spans="1:6" ht="28.5" customHeight="1">
      <c r="A47" s="109"/>
      <c r="B47" s="110">
        <v>42954</v>
      </c>
      <c r="C47" s="139" t="s">
        <v>118</v>
      </c>
      <c r="D47" s="140"/>
      <c r="E47" s="141"/>
      <c r="F47" s="111">
        <v>850</v>
      </c>
    </row>
    <row r="48" spans="1:6" ht="28.5" customHeight="1">
      <c r="A48" s="109"/>
      <c r="B48" s="110">
        <v>42968</v>
      </c>
      <c r="C48" s="139" t="s">
        <v>118</v>
      </c>
      <c r="D48" s="140"/>
      <c r="E48" s="141"/>
      <c r="F48" s="111">
        <v>850</v>
      </c>
    </row>
    <row r="49" spans="1:6" ht="28.5" customHeight="1">
      <c r="A49" s="109"/>
      <c r="B49" s="110">
        <v>42958</v>
      </c>
      <c r="C49" s="139" t="s">
        <v>118</v>
      </c>
      <c r="D49" s="140"/>
      <c r="E49" s="141"/>
      <c r="F49" s="111">
        <v>1275</v>
      </c>
    </row>
    <row r="50" spans="1:6" ht="28.5" customHeight="1">
      <c r="A50" s="109"/>
      <c r="B50" s="110">
        <v>43033</v>
      </c>
      <c r="C50" s="139" t="s">
        <v>118</v>
      </c>
      <c r="D50" s="140"/>
      <c r="E50" s="141"/>
      <c r="F50" s="111">
        <v>425</v>
      </c>
    </row>
    <row r="51" spans="1:6" ht="15.75" customHeight="1">
      <c r="A51" s="109"/>
      <c r="B51" s="110">
        <v>43090</v>
      </c>
      <c r="C51" s="139" t="s">
        <v>119</v>
      </c>
      <c r="D51" s="140"/>
      <c r="E51" s="141"/>
      <c r="F51" s="111">
        <v>654</v>
      </c>
    </row>
    <row r="52" spans="1:6" ht="15.75" customHeight="1">
      <c r="A52" s="112"/>
      <c r="B52" s="110">
        <v>42857</v>
      </c>
      <c r="C52" s="139" t="s">
        <v>120</v>
      </c>
      <c r="D52" s="140"/>
      <c r="E52" s="141"/>
      <c r="F52" s="113">
        <v>377</v>
      </c>
    </row>
    <row r="53" spans="1:6" ht="28.5" customHeight="1">
      <c r="A53" s="112"/>
      <c r="B53" s="110">
        <v>42857</v>
      </c>
      <c r="C53" s="139" t="s">
        <v>120</v>
      </c>
      <c r="D53" s="140"/>
      <c r="E53" s="141"/>
      <c r="F53" s="113">
        <v>377</v>
      </c>
    </row>
    <row r="54" spans="1:6" ht="28.5" customHeight="1">
      <c r="A54" s="112"/>
      <c r="B54" s="110">
        <v>42930</v>
      </c>
      <c r="C54" s="139" t="s">
        <v>121</v>
      </c>
      <c r="D54" s="140"/>
      <c r="E54" s="141"/>
      <c r="F54" s="113">
        <v>2386</v>
      </c>
    </row>
    <row r="55" spans="1:6" ht="28.5" customHeight="1">
      <c r="A55" s="112"/>
      <c r="B55" s="110">
        <v>42947</v>
      </c>
      <c r="C55" s="139" t="s">
        <v>120</v>
      </c>
      <c r="D55" s="140"/>
      <c r="E55" s="141"/>
      <c r="F55" s="113">
        <v>754</v>
      </c>
    </row>
    <row r="56" spans="1:6" ht="15.75" customHeight="1">
      <c r="A56" s="112"/>
      <c r="B56" s="110">
        <v>42977</v>
      </c>
      <c r="C56" s="139" t="s">
        <v>120</v>
      </c>
      <c r="D56" s="140"/>
      <c r="E56" s="141"/>
      <c r="F56" s="113">
        <v>377</v>
      </c>
    </row>
    <row r="57" spans="1:6" ht="15.75" customHeight="1">
      <c r="A57" s="112"/>
      <c r="B57" s="110">
        <v>42983</v>
      </c>
      <c r="C57" s="139" t="s">
        <v>120</v>
      </c>
      <c r="D57" s="140"/>
      <c r="E57" s="141"/>
      <c r="F57" s="113">
        <v>377</v>
      </c>
    </row>
    <row r="58" spans="1:6" ht="15.75" customHeight="1">
      <c r="A58" s="112"/>
      <c r="B58" s="110">
        <v>42983</v>
      </c>
      <c r="C58" s="139" t="s">
        <v>120</v>
      </c>
      <c r="D58" s="140"/>
      <c r="E58" s="141"/>
      <c r="F58" s="113">
        <v>1131</v>
      </c>
    </row>
    <row r="59" spans="1:6" ht="15.75" customHeight="1">
      <c r="A59" s="112"/>
      <c r="B59" s="110">
        <v>43000</v>
      </c>
      <c r="C59" s="139" t="s">
        <v>120</v>
      </c>
      <c r="D59" s="140"/>
      <c r="E59" s="141"/>
      <c r="F59" s="113">
        <v>377</v>
      </c>
    </row>
    <row r="60" spans="1:6" ht="28.5" customHeight="1">
      <c r="A60" s="112"/>
      <c r="B60" s="110">
        <v>43031</v>
      </c>
      <c r="C60" s="139" t="s">
        <v>120</v>
      </c>
      <c r="D60" s="140"/>
      <c r="E60" s="141"/>
      <c r="F60" s="113">
        <v>654</v>
      </c>
    </row>
    <row r="61" spans="1:6" ht="15.75">
      <c r="A61" s="112"/>
      <c r="B61" s="110">
        <v>43091</v>
      </c>
      <c r="C61" s="139" t="s">
        <v>120</v>
      </c>
      <c r="D61" s="140"/>
      <c r="E61" s="141"/>
      <c r="F61" s="113">
        <v>654</v>
      </c>
    </row>
    <row r="62" spans="1:6" ht="15.75" customHeight="1">
      <c r="A62" s="112"/>
      <c r="B62" s="110">
        <v>43039</v>
      </c>
      <c r="C62" s="139" t="s">
        <v>122</v>
      </c>
      <c r="D62" s="140"/>
      <c r="E62" s="141"/>
      <c r="F62" s="112">
        <v>1600</v>
      </c>
    </row>
    <row r="63" spans="1:6" ht="28.5" customHeight="1">
      <c r="A63" s="112"/>
      <c r="B63" s="110">
        <v>43069</v>
      </c>
      <c r="C63" s="139" t="s">
        <v>122</v>
      </c>
      <c r="D63" s="140"/>
      <c r="E63" s="141"/>
      <c r="F63" s="112">
        <v>4000</v>
      </c>
    </row>
    <row r="64" spans="1:6" ht="15.75" customHeight="1">
      <c r="A64" s="112"/>
      <c r="B64" s="112" t="s">
        <v>123</v>
      </c>
      <c r="C64" s="139" t="s">
        <v>124</v>
      </c>
      <c r="D64" s="140"/>
      <c r="E64" s="141"/>
      <c r="F64" s="112">
        <v>569</v>
      </c>
    </row>
    <row r="65" spans="1:6" ht="15.75" customHeight="1">
      <c r="A65" s="112"/>
      <c r="B65" s="112" t="s">
        <v>125</v>
      </c>
      <c r="C65" s="139" t="s">
        <v>124</v>
      </c>
      <c r="D65" s="140"/>
      <c r="E65" s="141"/>
      <c r="F65" s="112">
        <v>569</v>
      </c>
    </row>
    <row r="66" spans="1:6" ht="15.75" customHeight="1">
      <c r="A66" s="112"/>
      <c r="B66" s="110">
        <v>42947</v>
      </c>
      <c r="C66" s="131" t="s">
        <v>127</v>
      </c>
      <c r="D66" s="132"/>
      <c r="E66" s="133"/>
      <c r="F66" s="126">
        <v>1380</v>
      </c>
    </row>
    <row r="67" spans="1:6" ht="15.75" customHeight="1">
      <c r="A67" s="112"/>
      <c r="B67" s="110">
        <v>42958</v>
      </c>
      <c r="C67" s="131" t="s">
        <v>128</v>
      </c>
      <c r="D67" s="132"/>
      <c r="E67" s="133"/>
      <c r="F67" s="126">
        <v>966</v>
      </c>
    </row>
    <row r="68" spans="1:6" ht="15.75" customHeight="1">
      <c r="A68" s="112"/>
      <c r="B68" s="110">
        <v>42974</v>
      </c>
      <c r="C68" s="131" t="s">
        <v>127</v>
      </c>
      <c r="D68" s="132"/>
      <c r="E68" s="133"/>
      <c r="F68" s="126">
        <v>740</v>
      </c>
    </row>
    <row r="69" spans="1:6" ht="15.75" customHeight="1">
      <c r="A69" s="112"/>
      <c r="B69" s="110">
        <v>42984</v>
      </c>
      <c r="C69" s="131" t="s">
        <v>129</v>
      </c>
      <c r="D69" s="132"/>
      <c r="E69" s="133"/>
      <c r="F69" s="126">
        <v>966</v>
      </c>
    </row>
    <row r="70" spans="1:6" ht="15.75" customHeight="1">
      <c r="A70" s="112"/>
      <c r="B70" s="110">
        <v>43003</v>
      </c>
      <c r="C70" s="131" t="s">
        <v>130</v>
      </c>
      <c r="D70" s="132"/>
      <c r="E70" s="133"/>
      <c r="F70" s="126">
        <v>690</v>
      </c>
    </row>
    <row r="71" spans="1:6" ht="18" customHeight="1">
      <c r="A71" s="112"/>
      <c r="B71" s="110">
        <v>42957</v>
      </c>
      <c r="C71" s="131" t="s">
        <v>131</v>
      </c>
      <c r="D71" s="132"/>
      <c r="E71" s="133"/>
      <c r="F71" s="126">
        <v>1500</v>
      </c>
    </row>
    <row r="72" spans="1:6" ht="18" customHeight="1">
      <c r="A72" s="112"/>
      <c r="B72" s="110">
        <v>42949</v>
      </c>
      <c r="C72" s="139" t="s">
        <v>132</v>
      </c>
      <c r="D72" s="140"/>
      <c r="E72" s="141"/>
      <c r="F72" s="112">
        <v>2400</v>
      </c>
    </row>
    <row r="73" spans="1:6" ht="18" customHeight="1">
      <c r="A73" s="112"/>
      <c r="B73" s="110">
        <v>42933</v>
      </c>
      <c r="C73" s="131" t="s">
        <v>126</v>
      </c>
      <c r="D73" s="132"/>
      <c r="E73" s="133"/>
      <c r="F73" s="112">
        <v>3000</v>
      </c>
    </row>
    <row r="74" spans="1:6" ht="18" customHeight="1">
      <c r="A74" s="112"/>
      <c r="B74" s="110"/>
      <c r="C74" s="128"/>
      <c r="D74" s="129"/>
      <c r="E74" s="130"/>
      <c r="F74" s="112"/>
    </row>
    <row r="75" spans="1:6" ht="18" customHeight="1">
      <c r="A75" s="112"/>
      <c r="B75" s="110"/>
      <c r="C75" s="128"/>
      <c r="D75" s="129"/>
      <c r="E75" s="130"/>
      <c r="F75" s="112"/>
    </row>
    <row r="76" spans="1:6" ht="12.75" customHeight="1">
      <c r="A76" s="114"/>
      <c r="B76" s="115"/>
      <c r="C76" s="136"/>
      <c r="D76" s="137"/>
      <c r="E76" s="138"/>
      <c r="F76" s="116"/>
    </row>
    <row r="77" spans="1:6" ht="12.75" customHeight="1">
      <c r="A77" s="134" t="s">
        <v>43</v>
      </c>
      <c r="B77" s="134"/>
      <c r="C77" s="134"/>
      <c r="D77" s="134"/>
      <c r="E77" s="134"/>
      <c r="F77" s="117">
        <f>SUM(F46:F76)</f>
        <v>38138</v>
      </c>
    </row>
    <row r="78" spans="1:6" ht="12.75" customHeight="1">
      <c r="A78" s="118"/>
      <c r="B78" s="119"/>
      <c r="C78" s="120"/>
      <c r="D78" s="121"/>
      <c r="E78" s="122"/>
      <c r="F78" s="118"/>
    </row>
    <row r="79" spans="1:6" ht="12.75" customHeight="1">
      <c r="A79" s="118"/>
      <c r="B79" s="119"/>
      <c r="C79" s="123"/>
      <c r="D79" s="124"/>
      <c r="E79" s="125"/>
      <c r="F79" s="118"/>
    </row>
    <row r="80" spans="1:6" ht="12.75" customHeight="1">
      <c r="A80" s="118"/>
      <c r="B80" s="119"/>
      <c r="C80" s="122"/>
      <c r="D80" s="121"/>
      <c r="E80" s="122"/>
      <c r="F80" s="118"/>
    </row>
    <row r="81" spans="1:6" ht="12.75" customHeight="1">
      <c r="A81" s="118"/>
      <c r="B81" s="119"/>
      <c r="C81" s="122"/>
      <c r="D81" s="124"/>
      <c r="E81" s="125"/>
      <c r="F81" s="118"/>
    </row>
    <row r="82" spans="1:6" ht="12.75" customHeight="1">
      <c r="A82" s="118"/>
      <c r="B82" s="119"/>
      <c r="C82" s="122"/>
      <c r="D82" s="124"/>
      <c r="E82" s="125"/>
      <c r="F82" s="118"/>
    </row>
    <row r="83" spans="1:6" ht="12.75" customHeight="1">
      <c r="A83" s="118"/>
      <c r="B83" s="119"/>
      <c r="C83" s="123"/>
      <c r="D83" s="124"/>
      <c r="E83" s="125"/>
      <c r="F83" s="118"/>
    </row>
    <row r="84" spans="1:6" ht="12.75" customHeight="1">
      <c r="A84" s="118"/>
      <c r="B84" s="119"/>
      <c r="C84" s="123"/>
      <c r="D84" s="124"/>
      <c r="E84" s="125"/>
      <c r="F84" s="118"/>
    </row>
    <row r="85" spans="1:6" ht="12.75" customHeight="1">
      <c r="A85" s="118"/>
      <c r="B85" s="119"/>
      <c r="C85" s="123"/>
      <c r="D85" s="124"/>
      <c r="E85" s="125"/>
      <c r="F85" s="118"/>
    </row>
    <row r="86" spans="1:6" ht="12.75" customHeight="1">
      <c r="A86" s="118"/>
      <c r="B86" s="122"/>
      <c r="C86" s="122"/>
      <c r="D86" s="127"/>
      <c r="E86" s="122"/>
      <c r="F86" s="118"/>
    </row>
    <row r="87" spans="1:6" ht="12.75" customHeight="1">
      <c r="A87" s="118"/>
      <c r="B87" s="119"/>
      <c r="C87" s="123"/>
      <c r="D87" s="124"/>
      <c r="E87" s="125"/>
      <c r="F87" s="118"/>
    </row>
    <row r="88" spans="1:6" ht="12.75" customHeight="1">
      <c r="A88" s="118"/>
      <c r="B88" s="119"/>
      <c r="C88" s="123"/>
      <c r="D88" s="124"/>
      <c r="E88" s="125"/>
      <c r="F88" s="118"/>
    </row>
  </sheetData>
  <sheetProtection/>
  <mergeCells count="56">
    <mergeCell ref="A1:F1"/>
    <mergeCell ref="A2:F2"/>
    <mergeCell ref="A19:F19"/>
    <mergeCell ref="B21:E21"/>
    <mergeCell ref="I21:J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7:E37"/>
    <mergeCell ref="A39:E39"/>
    <mergeCell ref="A40:E40"/>
    <mergeCell ref="A41:E41"/>
    <mergeCell ref="C44:E44"/>
    <mergeCell ref="C46:E46"/>
    <mergeCell ref="C47:E47"/>
    <mergeCell ref="C45:E45"/>
    <mergeCell ref="C48:E48"/>
    <mergeCell ref="C49:E49"/>
    <mergeCell ref="C50:E50"/>
    <mergeCell ref="C51:E51"/>
    <mergeCell ref="C52:E52"/>
    <mergeCell ref="C53:E53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66:E66"/>
    <mergeCell ref="B34:E34"/>
    <mergeCell ref="B35:E35"/>
    <mergeCell ref="B36:E36"/>
    <mergeCell ref="C76:E76"/>
    <mergeCell ref="C72:E72"/>
    <mergeCell ref="C73:E73"/>
    <mergeCell ref="C60:E60"/>
    <mergeCell ref="C61:E61"/>
    <mergeCell ref="C62:E62"/>
    <mergeCell ref="C67:E67"/>
    <mergeCell ref="C68:E68"/>
    <mergeCell ref="C69:E69"/>
    <mergeCell ref="C70:E70"/>
    <mergeCell ref="C71:E71"/>
    <mergeCell ref="A77:E7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0"/>
  <sheetViews>
    <sheetView view="pageBreakPreview" zoomScaleSheetLayoutView="100" zoomScalePageLayoutView="0" workbookViewId="0" topLeftCell="A3">
      <selection activeCell="F11" sqref="F11:F13"/>
    </sheetView>
  </sheetViews>
  <sheetFormatPr defaultColWidth="9.140625" defaultRowHeight="12.75" outlineLevelRow="1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52" t="s">
        <v>86</v>
      </c>
      <c r="B1" s="152"/>
      <c r="C1" s="152"/>
      <c r="D1" s="152"/>
      <c r="E1" s="152"/>
      <c r="F1" s="152"/>
      <c r="G1" s="89"/>
    </row>
    <row r="2" spans="1:6" ht="15.75">
      <c r="A2" s="152" t="s">
        <v>44</v>
      </c>
      <c r="B2" s="152"/>
      <c r="C2" s="152"/>
      <c r="D2" s="152"/>
      <c r="E2" s="152"/>
      <c r="F2" s="152"/>
    </row>
    <row r="3" ht="12" customHeight="1"/>
    <row r="4" spans="2:6" ht="15.75" hidden="1" outlineLevel="1">
      <c r="B4" s="6" t="s">
        <v>73</v>
      </c>
      <c r="C4" s="6"/>
      <c r="D4" s="6"/>
      <c r="E4" s="6"/>
      <c r="F4" s="6"/>
    </row>
    <row r="5" spans="2:6" ht="15.75" hidden="1" outlineLevel="1">
      <c r="B5" s="6" t="s">
        <v>16</v>
      </c>
      <c r="C5" s="6"/>
      <c r="D5" s="6">
        <f>1512.8+1613.51</f>
        <v>3126.31</v>
      </c>
      <c r="E5" s="6" t="s">
        <v>17</v>
      </c>
      <c r="F5" s="6"/>
    </row>
    <row r="6" ht="9" customHeight="1" collapsed="1"/>
    <row r="7" spans="2:6" ht="15.75">
      <c r="B7" s="3" t="s">
        <v>87</v>
      </c>
      <c r="C7" s="3"/>
      <c r="D7" s="7">
        <f>'2015 (с марта)'!F33</f>
        <v>154589.69039999996</v>
      </c>
      <c r="E7" s="3" t="s">
        <v>22</v>
      </c>
      <c r="F7" s="3"/>
    </row>
    <row r="8" spans="2:6" ht="15.75">
      <c r="B8" s="3" t="s">
        <v>88</v>
      </c>
      <c r="C8" s="6"/>
      <c r="D8" s="8">
        <f>C14</f>
        <v>-135461.23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28.5" customHeight="1">
      <c r="A10" s="90" t="s">
        <v>23</v>
      </c>
      <c r="B10" s="11" t="s">
        <v>24</v>
      </c>
      <c r="C10" s="12" t="s">
        <v>89</v>
      </c>
      <c r="D10" s="12" t="s">
        <v>0</v>
      </c>
      <c r="E10" s="12" t="s">
        <v>26</v>
      </c>
      <c r="F10" s="12" t="s">
        <v>90</v>
      </c>
    </row>
    <row r="11" spans="1:9" s="16" customFormat="1" ht="30" customHeight="1">
      <c r="A11" s="90">
        <v>1</v>
      </c>
      <c r="B11" s="13" t="s">
        <v>1</v>
      </c>
      <c r="C11" s="14">
        <f>'2015 (с марта)'!F11</f>
        <v>-104705.75</v>
      </c>
      <c r="D11" s="14">
        <f>17124.88+107624.68+18263.44+66314.18+188373.68-107624.68+200897.84-66699.4</f>
        <v>424274.62</v>
      </c>
      <c r="E11" s="14">
        <f>175108.62+144544.57</f>
        <v>319653.19</v>
      </c>
      <c r="F11" s="14">
        <f>C11-D11+E11</f>
        <v>-209327.18</v>
      </c>
      <c r="G11" s="3" t="s">
        <v>51</v>
      </c>
      <c r="H11" s="4">
        <v>11.32</v>
      </c>
      <c r="I11" s="77">
        <f>H11*10*I19</f>
        <v>353898.292</v>
      </c>
    </row>
    <row r="12" spans="1:9" s="16" customFormat="1" ht="30" customHeight="1">
      <c r="A12" s="90">
        <v>2</v>
      </c>
      <c r="B12" s="13" t="s">
        <v>2</v>
      </c>
      <c r="C12" s="14">
        <f>'2015 (с марта)'!F12</f>
        <v>-18961.790000000008</v>
      </c>
      <c r="D12" s="14">
        <f>3101.26+19490.35+3307.47+12009.18+34113.62-19490.35+36381.85-12073.51</f>
        <v>76839.87000000001</v>
      </c>
      <c r="E12" s="14">
        <f>26176.38+31717.02</f>
        <v>57893.4</v>
      </c>
      <c r="F12" s="14">
        <f>C12-D12+E12</f>
        <v>-37908.26000000002</v>
      </c>
      <c r="G12" s="2" t="s">
        <v>52</v>
      </c>
      <c r="H12" s="2">
        <v>3.12</v>
      </c>
      <c r="I12" s="77">
        <f>H12*12*I19</f>
        <v>117049.04639999999</v>
      </c>
    </row>
    <row r="13" spans="1:9" s="16" customFormat="1" ht="29.25" customHeight="1">
      <c r="A13" s="90">
        <v>3</v>
      </c>
      <c r="B13" s="13" t="s">
        <v>3</v>
      </c>
      <c r="C13" s="14">
        <f>'2015 (с марта)'!F13</f>
        <v>-11793.689999999995</v>
      </c>
      <c r="D13" s="14">
        <f>1680.87+11663.79+2062.72+7732.68+18489.57-11663.79+22689.92-7774.1</f>
        <v>44881.659999999996</v>
      </c>
      <c r="E13" s="14">
        <f>13916.01+19619.28</f>
        <v>33535.29</v>
      </c>
      <c r="F13" s="14">
        <f>C13-D13+E13</f>
        <v>-23140.05999999999</v>
      </c>
      <c r="G13" s="6" t="s">
        <v>53</v>
      </c>
      <c r="H13" s="2">
        <f>2.35</f>
        <v>2.35</v>
      </c>
      <c r="I13" s="77">
        <f>H13*12*I19</f>
        <v>88161.94200000001</v>
      </c>
    </row>
    <row r="14" spans="1:9" s="16" customFormat="1" ht="30" customHeight="1">
      <c r="A14" s="90"/>
      <c r="B14" s="13" t="s">
        <v>5</v>
      </c>
      <c r="C14" s="14">
        <f>SUM(C11:C13)</f>
        <v>-135461.23</v>
      </c>
      <c r="D14" s="14">
        <f>SUM(D11:D13)</f>
        <v>545996.15</v>
      </c>
      <c r="E14" s="14">
        <f>SUM(E11:E13)</f>
        <v>411081.88</v>
      </c>
      <c r="F14" s="14">
        <f>SUM(F11:F13)</f>
        <v>-270375.5</v>
      </c>
      <c r="G14" s="6" t="s">
        <v>54</v>
      </c>
      <c r="H14" s="2">
        <v>1.32</v>
      </c>
      <c r="I14" s="77">
        <f>H14*12*I19</f>
        <v>49520.7504</v>
      </c>
    </row>
    <row r="15" ht="26.25" customHeight="1"/>
    <row r="16" spans="1:6" ht="11.25" customHeight="1">
      <c r="A16" s="152" t="s">
        <v>28</v>
      </c>
      <c r="B16" s="152"/>
      <c r="C16" s="152"/>
      <c r="D16" s="152"/>
      <c r="E16" s="152"/>
      <c r="F16" s="152"/>
    </row>
    <row r="17" spans="1:6" ht="15.75">
      <c r="A17" s="89"/>
      <c r="B17" s="89"/>
      <c r="C17" s="89"/>
      <c r="D17" s="89"/>
      <c r="E17" s="89"/>
      <c r="F17" s="89"/>
    </row>
    <row r="18" spans="1:10" ht="31.5">
      <c r="A18" s="12" t="s">
        <v>30</v>
      </c>
      <c r="B18" s="153" t="s">
        <v>6</v>
      </c>
      <c r="C18" s="153"/>
      <c r="D18" s="153"/>
      <c r="E18" s="153"/>
      <c r="F18" s="17" t="s">
        <v>7</v>
      </c>
      <c r="I18" s="154" t="s">
        <v>29</v>
      </c>
      <c r="J18" s="154"/>
    </row>
    <row r="19" spans="1:10" ht="15.75">
      <c r="A19" s="99">
        <v>1</v>
      </c>
      <c r="B19" s="155" t="s">
        <v>8</v>
      </c>
      <c r="C19" s="155"/>
      <c r="D19" s="155"/>
      <c r="E19" s="155"/>
      <c r="F19" s="100">
        <f>I12</f>
        <v>117049.04639999999</v>
      </c>
      <c r="G19" s="18"/>
      <c r="I19" s="11">
        <f>D5</f>
        <v>3126.31</v>
      </c>
      <c r="J19" s="11"/>
    </row>
    <row r="20" spans="1:10" ht="18" customHeight="1">
      <c r="A20" s="101">
        <v>2</v>
      </c>
      <c r="B20" s="147" t="s">
        <v>9</v>
      </c>
      <c r="C20" s="147"/>
      <c r="D20" s="147"/>
      <c r="E20" s="147"/>
      <c r="F20" s="102">
        <f>0.22*6*I19+0.21*6*I19</f>
        <v>8065.8798</v>
      </c>
      <c r="G20" s="6"/>
      <c r="H20" s="2" t="s">
        <v>31</v>
      </c>
      <c r="I20" s="11" t="s">
        <v>32</v>
      </c>
      <c r="J20" s="11" t="s">
        <v>33</v>
      </c>
    </row>
    <row r="21" spans="1:10" ht="18" customHeight="1">
      <c r="A21" s="101">
        <v>3</v>
      </c>
      <c r="B21" s="147" t="s">
        <v>34</v>
      </c>
      <c r="C21" s="147"/>
      <c r="D21" s="147"/>
      <c r="E21" s="147"/>
      <c r="F21" s="102">
        <f>I13</f>
        <v>88161.94200000001</v>
      </c>
      <c r="G21" s="6"/>
      <c r="I21" s="11">
        <v>4022</v>
      </c>
      <c r="J21" s="11">
        <v>3043</v>
      </c>
    </row>
    <row r="22" spans="1:10" ht="18" customHeight="1">
      <c r="A22" s="101">
        <v>4</v>
      </c>
      <c r="B22" s="147" t="s">
        <v>35</v>
      </c>
      <c r="C22" s="147"/>
      <c r="D22" s="147"/>
      <c r="E22" s="147"/>
      <c r="F22" s="102">
        <f>D13</f>
        <v>44881.659999999996</v>
      </c>
      <c r="I22" s="11">
        <f>I21*12</f>
        <v>48264</v>
      </c>
      <c r="J22" s="11">
        <f>J21*12</f>
        <v>36516</v>
      </c>
    </row>
    <row r="23" spans="1:11" ht="18" customHeight="1">
      <c r="A23" s="101">
        <v>5</v>
      </c>
      <c r="B23" s="147" t="s">
        <v>10</v>
      </c>
      <c r="C23" s="147"/>
      <c r="D23" s="147"/>
      <c r="E23" s="147"/>
      <c r="F23" s="102">
        <f>F24+F25+F26+F27</f>
        <v>23765</v>
      </c>
      <c r="G23" s="77">
        <f>F60</f>
        <v>24455</v>
      </c>
      <c r="I23" s="93"/>
      <c r="J23" s="6"/>
      <c r="K23" s="6"/>
    </row>
    <row r="24" spans="1:11" ht="18" customHeight="1">
      <c r="A24" s="101" t="s">
        <v>11</v>
      </c>
      <c r="B24" s="147" t="s">
        <v>36</v>
      </c>
      <c r="C24" s="147"/>
      <c r="D24" s="147"/>
      <c r="E24" s="147"/>
      <c r="F24" s="102">
        <f>F40+F41+F46+F47+F48+F50+F51+F52+F53+F55+F56+F57</f>
        <v>13641</v>
      </c>
      <c r="I24" s="6"/>
      <c r="J24" s="6"/>
      <c r="K24" s="6"/>
    </row>
    <row r="25" spans="1:11" ht="16.5" customHeight="1">
      <c r="A25" s="101" t="s">
        <v>11</v>
      </c>
      <c r="B25" s="147" t="s">
        <v>37</v>
      </c>
      <c r="C25" s="147"/>
      <c r="D25" s="147"/>
      <c r="E25" s="147"/>
      <c r="F25" s="102">
        <f>F42+F43+F44+F45+F49+F59</f>
        <v>5324</v>
      </c>
      <c r="I25" s="6"/>
      <c r="J25" s="6"/>
      <c r="K25" s="6"/>
    </row>
    <row r="26" spans="1:11" ht="16.5" customHeight="1">
      <c r="A26" s="101" t="s">
        <v>11</v>
      </c>
      <c r="B26" s="147" t="s">
        <v>38</v>
      </c>
      <c r="C26" s="147"/>
      <c r="D26" s="147"/>
      <c r="E26" s="147"/>
      <c r="F26" s="102">
        <f>F58</f>
        <v>720</v>
      </c>
      <c r="G26" s="6"/>
      <c r="I26" s="6"/>
      <c r="J26" s="6"/>
      <c r="K26" s="6"/>
    </row>
    <row r="27" spans="1:11" ht="16.5" customHeight="1">
      <c r="A27" s="101" t="s">
        <v>11</v>
      </c>
      <c r="B27" s="147" t="s">
        <v>82</v>
      </c>
      <c r="C27" s="147"/>
      <c r="D27" s="147"/>
      <c r="E27" s="147"/>
      <c r="F27" s="102">
        <f>F39</f>
        <v>4080</v>
      </c>
      <c r="I27" s="6"/>
      <c r="J27" s="6"/>
      <c r="K27" s="6"/>
    </row>
    <row r="28" spans="1:11" ht="17.25" customHeight="1">
      <c r="A28" s="101">
        <v>6</v>
      </c>
      <c r="B28" s="135" t="s">
        <v>72</v>
      </c>
      <c r="C28" s="135"/>
      <c r="D28" s="135"/>
      <c r="E28" s="135"/>
      <c r="F28" s="102">
        <f>F54</f>
        <v>690</v>
      </c>
      <c r="G28" s="6"/>
      <c r="I28" s="6"/>
      <c r="J28" s="6"/>
      <c r="K28" s="6"/>
    </row>
    <row r="29" spans="1:11" ht="17.25" customHeight="1">
      <c r="A29" s="101">
        <v>7</v>
      </c>
      <c r="B29" s="135" t="s">
        <v>2</v>
      </c>
      <c r="C29" s="135"/>
      <c r="D29" s="135"/>
      <c r="E29" s="135"/>
      <c r="F29" s="102">
        <f>D12</f>
        <v>76839.87000000001</v>
      </c>
      <c r="G29" s="6"/>
      <c r="I29" s="6"/>
      <c r="J29" s="6"/>
      <c r="K29" s="6"/>
    </row>
    <row r="30" spans="1:11" ht="17.25" customHeight="1">
      <c r="A30" s="101">
        <v>8</v>
      </c>
      <c r="B30" s="148" t="s">
        <v>85</v>
      </c>
      <c r="C30" s="149"/>
      <c r="D30" s="149"/>
      <c r="E30" s="150"/>
      <c r="F30" s="102">
        <v>1307.47</v>
      </c>
      <c r="G30" s="6"/>
      <c r="I30" s="6"/>
      <c r="J30" s="6"/>
      <c r="K30" s="6"/>
    </row>
    <row r="31" spans="1:11" ht="17.25" customHeight="1">
      <c r="A31" s="103"/>
      <c r="B31" s="151" t="s">
        <v>12</v>
      </c>
      <c r="C31" s="151"/>
      <c r="D31" s="151"/>
      <c r="E31" s="151"/>
      <c r="F31" s="104">
        <f>F19+F21+F22+F23+F29+F28+F20+F30</f>
        <v>360760.86819999997</v>
      </c>
      <c r="G31" s="6"/>
      <c r="I31" s="6"/>
      <c r="J31" s="6"/>
      <c r="K31" s="6"/>
    </row>
    <row r="32" spans="1:11" s="27" customFormat="1" ht="17.25" customHeight="1">
      <c r="A32" s="5"/>
      <c r="B32" s="2"/>
      <c r="C32" s="2"/>
      <c r="D32" s="2"/>
      <c r="E32" s="2"/>
      <c r="F32" s="2"/>
      <c r="G32" s="3"/>
      <c r="I32" s="3"/>
      <c r="J32" s="3"/>
      <c r="K32" s="3"/>
    </row>
    <row r="33" spans="1:11" ht="15.75">
      <c r="A33" s="142" t="s">
        <v>91</v>
      </c>
      <c r="B33" s="142"/>
      <c r="C33" s="142"/>
      <c r="D33" s="142"/>
      <c r="E33" s="142"/>
      <c r="F33" s="24">
        <f>D14-F31+D7</f>
        <v>339824.9722</v>
      </c>
      <c r="I33" s="6"/>
      <c r="J33" s="6"/>
      <c r="K33" s="6"/>
    </row>
    <row r="34" spans="1:11" ht="18" customHeight="1">
      <c r="A34" s="142" t="s">
        <v>92</v>
      </c>
      <c r="B34" s="142"/>
      <c r="C34" s="142"/>
      <c r="D34" s="142"/>
      <c r="E34" s="142"/>
      <c r="F34" s="24">
        <f>F14</f>
        <v>-270375.5</v>
      </c>
      <c r="I34" s="6"/>
      <c r="J34" s="6"/>
      <c r="K34" s="6"/>
    </row>
    <row r="35" spans="1:6" ht="15.75">
      <c r="A35" s="143" t="s">
        <v>71</v>
      </c>
      <c r="B35" s="143"/>
      <c r="C35" s="143"/>
      <c r="D35" s="143"/>
      <c r="E35" s="143"/>
      <c r="F35" s="24">
        <f>F34+F33</f>
        <v>69449.47220000002</v>
      </c>
    </row>
    <row r="36" ht="18" customHeight="1"/>
    <row r="37" ht="19.5" customHeight="1"/>
    <row r="38" spans="1:6" ht="15.75">
      <c r="A38" s="28" t="s">
        <v>23</v>
      </c>
      <c r="B38" s="28" t="s">
        <v>14</v>
      </c>
      <c r="C38" s="144" t="s">
        <v>40</v>
      </c>
      <c r="D38" s="145"/>
      <c r="E38" s="146"/>
      <c r="F38" s="28" t="s">
        <v>41</v>
      </c>
    </row>
    <row r="39" spans="1:6" ht="28.5" customHeight="1">
      <c r="A39" s="38">
        <v>1</v>
      </c>
      <c r="B39" s="42" t="s">
        <v>78</v>
      </c>
      <c r="C39" s="156" t="s">
        <v>82</v>
      </c>
      <c r="D39" s="157"/>
      <c r="E39" s="158"/>
      <c r="F39" s="43">
        <f>170*2*12</f>
        <v>4080</v>
      </c>
    </row>
    <row r="40" spans="1:6" s="41" customFormat="1" ht="28.5" customHeight="1">
      <c r="A40" s="94">
        <v>2</v>
      </c>
      <c r="B40" s="78">
        <v>42394</v>
      </c>
      <c r="C40" s="159" t="s">
        <v>93</v>
      </c>
      <c r="D40" s="160"/>
      <c r="E40" s="161"/>
      <c r="F40" s="95">
        <v>654</v>
      </c>
    </row>
    <row r="41" spans="1:6" s="51" customFormat="1" ht="28.5" customHeight="1">
      <c r="A41" s="94">
        <v>3</v>
      </c>
      <c r="B41" s="78">
        <v>42438</v>
      </c>
      <c r="C41" s="159" t="s">
        <v>93</v>
      </c>
      <c r="D41" s="160"/>
      <c r="E41" s="161"/>
      <c r="F41" s="95">
        <v>654</v>
      </c>
    </row>
    <row r="42" spans="1:6" s="47" customFormat="1" ht="28.5" customHeight="1">
      <c r="A42" s="94">
        <v>4</v>
      </c>
      <c r="B42" s="81">
        <v>42438</v>
      </c>
      <c r="C42" s="162" t="s">
        <v>94</v>
      </c>
      <c r="D42" s="163"/>
      <c r="E42" s="164"/>
      <c r="F42" s="97">
        <v>628</v>
      </c>
    </row>
    <row r="43" spans="1:6" s="47" customFormat="1" ht="28.5" customHeight="1">
      <c r="A43" s="94">
        <v>5</v>
      </c>
      <c r="B43" s="36">
        <v>42438</v>
      </c>
      <c r="C43" s="162" t="s">
        <v>94</v>
      </c>
      <c r="D43" s="163"/>
      <c r="E43" s="164"/>
      <c r="F43" s="98">
        <v>582</v>
      </c>
    </row>
    <row r="44" spans="1:6" s="47" customFormat="1" ht="15.75">
      <c r="A44" s="94">
        <v>6</v>
      </c>
      <c r="B44" s="36">
        <v>42465</v>
      </c>
      <c r="C44" s="165" t="s">
        <v>95</v>
      </c>
      <c r="D44" s="166"/>
      <c r="E44" s="167"/>
      <c r="F44" s="98">
        <v>1878</v>
      </c>
    </row>
    <row r="45" spans="1:6" s="63" customFormat="1" ht="15.75">
      <c r="A45" s="94">
        <v>7</v>
      </c>
      <c r="B45" s="36">
        <v>42465</v>
      </c>
      <c r="C45" s="165" t="s">
        <v>95</v>
      </c>
      <c r="D45" s="166"/>
      <c r="E45" s="167"/>
      <c r="F45" s="98">
        <v>894</v>
      </c>
    </row>
    <row r="46" spans="1:6" s="63" customFormat="1" ht="28.5" customHeight="1">
      <c r="A46" s="29">
        <v>9</v>
      </c>
      <c r="B46" s="36">
        <v>42521</v>
      </c>
      <c r="C46" s="165" t="s">
        <v>93</v>
      </c>
      <c r="D46" s="166"/>
      <c r="E46" s="167"/>
      <c r="F46" s="96">
        <v>654</v>
      </c>
    </row>
    <row r="47" spans="1:6" s="41" customFormat="1" ht="28.5" customHeight="1">
      <c r="A47" s="94">
        <v>2</v>
      </c>
      <c r="B47" s="36">
        <v>42529</v>
      </c>
      <c r="C47" s="159" t="s">
        <v>93</v>
      </c>
      <c r="D47" s="160"/>
      <c r="E47" s="161"/>
      <c r="F47" s="96">
        <v>654</v>
      </c>
    </row>
    <row r="48" spans="1:6" s="51" customFormat="1" ht="28.5" customHeight="1">
      <c r="A48" s="94">
        <v>3</v>
      </c>
      <c r="B48" s="36">
        <v>42530</v>
      </c>
      <c r="C48" s="165" t="s">
        <v>96</v>
      </c>
      <c r="D48" s="166"/>
      <c r="E48" s="167"/>
      <c r="F48" s="96">
        <v>4776</v>
      </c>
    </row>
    <row r="49" spans="1:6" s="47" customFormat="1" ht="15.75">
      <c r="A49" s="94">
        <v>6</v>
      </c>
      <c r="B49" s="36">
        <v>42625</v>
      </c>
      <c r="C49" s="165" t="s">
        <v>97</v>
      </c>
      <c r="D49" s="166"/>
      <c r="E49" s="167"/>
      <c r="F49" s="98">
        <v>492</v>
      </c>
    </row>
    <row r="50" spans="1:6" s="63" customFormat="1" ht="15.75">
      <c r="A50" s="94">
        <v>7</v>
      </c>
      <c r="B50" s="36">
        <v>42626</v>
      </c>
      <c r="C50" s="165" t="s">
        <v>98</v>
      </c>
      <c r="D50" s="166"/>
      <c r="E50" s="167"/>
      <c r="F50" s="96">
        <v>414</v>
      </c>
    </row>
    <row r="51" spans="1:6" s="63" customFormat="1" ht="15.75">
      <c r="A51" s="94">
        <v>8</v>
      </c>
      <c r="B51" s="36">
        <v>42627</v>
      </c>
      <c r="C51" s="165" t="s">
        <v>99</v>
      </c>
      <c r="D51" s="166"/>
      <c r="E51" s="167"/>
      <c r="F51" s="96">
        <v>486</v>
      </c>
    </row>
    <row r="52" spans="1:6" s="63" customFormat="1" ht="15.75">
      <c r="A52" s="29">
        <v>9</v>
      </c>
      <c r="B52" s="36">
        <v>42636</v>
      </c>
      <c r="C52" s="165" t="s">
        <v>100</v>
      </c>
      <c r="D52" s="166"/>
      <c r="E52" s="167"/>
      <c r="F52" s="96">
        <v>377</v>
      </c>
    </row>
    <row r="53" spans="1:6" s="41" customFormat="1" ht="28.5" customHeight="1">
      <c r="A53" s="94">
        <v>2</v>
      </c>
      <c r="B53" s="36">
        <v>42636</v>
      </c>
      <c r="C53" s="159" t="s">
        <v>93</v>
      </c>
      <c r="D53" s="160"/>
      <c r="E53" s="161"/>
      <c r="F53" s="96">
        <v>654</v>
      </c>
    </row>
    <row r="54" spans="1:6" s="51" customFormat="1" ht="15.75">
      <c r="A54" s="94">
        <v>3</v>
      </c>
      <c r="B54" s="36">
        <v>42647</v>
      </c>
      <c r="C54" s="165" t="s">
        <v>101</v>
      </c>
      <c r="D54" s="166"/>
      <c r="E54" s="167"/>
      <c r="F54" s="37">
        <v>690</v>
      </c>
    </row>
    <row r="55" spans="1:6" s="47" customFormat="1" ht="15.75">
      <c r="A55" s="94">
        <v>4</v>
      </c>
      <c r="B55" s="36">
        <v>42648</v>
      </c>
      <c r="C55" s="165" t="s">
        <v>100</v>
      </c>
      <c r="D55" s="166"/>
      <c r="E55" s="167"/>
      <c r="F55" s="96">
        <v>521</v>
      </c>
    </row>
    <row r="56" spans="1:6" s="47" customFormat="1" ht="28.5" customHeight="1">
      <c r="A56" s="94">
        <v>5</v>
      </c>
      <c r="B56" s="36">
        <v>42682</v>
      </c>
      <c r="C56" s="159" t="s">
        <v>93</v>
      </c>
      <c r="D56" s="160"/>
      <c r="E56" s="161"/>
      <c r="F56" s="96">
        <v>654</v>
      </c>
    </row>
    <row r="57" spans="1:6" s="47" customFormat="1" ht="15.75">
      <c r="A57" s="94">
        <v>6</v>
      </c>
      <c r="B57" s="36">
        <v>42693</v>
      </c>
      <c r="C57" s="165" t="s">
        <v>102</v>
      </c>
      <c r="D57" s="166"/>
      <c r="E57" s="167"/>
      <c r="F57" s="96">
        <v>3143</v>
      </c>
    </row>
    <row r="58" spans="1:6" s="63" customFormat="1" ht="15.75">
      <c r="A58" s="94">
        <v>7</v>
      </c>
      <c r="B58" s="36">
        <v>42698</v>
      </c>
      <c r="C58" s="165" t="s">
        <v>103</v>
      </c>
      <c r="D58" s="166"/>
      <c r="E58" s="167"/>
      <c r="F58" s="37">
        <v>720</v>
      </c>
    </row>
    <row r="59" spans="1:6" s="63" customFormat="1" ht="15.75">
      <c r="A59" s="94">
        <v>8</v>
      </c>
      <c r="B59" s="36">
        <v>42709</v>
      </c>
      <c r="C59" s="165" t="s">
        <v>104</v>
      </c>
      <c r="D59" s="166"/>
      <c r="E59" s="167"/>
      <c r="F59" s="98">
        <v>850</v>
      </c>
    </row>
    <row r="60" spans="1:6" ht="27" customHeight="1">
      <c r="A60" s="134" t="s">
        <v>43</v>
      </c>
      <c r="B60" s="134"/>
      <c r="C60" s="134"/>
      <c r="D60" s="134"/>
      <c r="E60" s="134"/>
      <c r="F60" s="35">
        <f>SUM(F39:F59)</f>
        <v>24455</v>
      </c>
    </row>
  </sheetData>
  <sheetProtection selectLockedCells="1" selectUnlockedCells="1"/>
  <mergeCells count="44">
    <mergeCell ref="C44:E44"/>
    <mergeCell ref="C45:E45"/>
    <mergeCell ref="C46:E46"/>
    <mergeCell ref="A60:E60"/>
    <mergeCell ref="C47:E47"/>
    <mergeCell ref="C48:E48"/>
    <mergeCell ref="C49:E49"/>
    <mergeCell ref="C50:E50"/>
    <mergeCell ref="C51:E51"/>
    <mergeCell ref="C52:E52"/>
    <mergeCell ref="C54:E54"/>
    <mergeCell ref="C55:E55"/>
    <mergeCell ref="C56:E56"/>
    <mergeCell ref="C57:E57"/>
    <mergeCell ref="C58:E58"/>
    <mergeCell ref="C59:E59"/>
    <mergeCell ref="A33:E33"/>
    <mergeCell ref="A34:E34"/>
    <mergeCell ref="A35:E35"/>
    <mergeCell ref="C38:E38"/>
    <mergeCell ref="C39:E39"/>
    <mergeCell ref="C53:E53"/>
    <mergeCell ref="C40:E40"/>
    <mergeCell ref="C41:E41"/>
    <mergeCell ref="C42:E42"/>
    <mergeCell ref="C43:E43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A1:F1"/>
    <mergeCell ref="A2:F2"/>
    <mergeCell ref="A16:F16"/>
    <mergeCell ref="B18:E18"/>
    <mergeCell ref="I18:J18"/>
    <mergeCell ref="B19:E1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8"/>
  <sheetViews>
    <sheetView view="pageBreakPreview" zoomScaleSheetLayoutView="100" zoomScalePageLayoutView="0" workbookViewId="0" topLeftCell="A21">
      <selection activeCell="D13" sqref="D13"/>
    </sheetView>
  </sheetViews>
  <sheetFormatPr defaultColWidth="9.140625" defaultRowHeight="12.75" outlineLevelRow="1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3.28125" style="2" customWidth="1"/>
    <col min="11" max="16384" width="9.140625" style="2" customWidth="1"/>
  </cols>
  <sheetData>
    <row r="1" spans="1:7" ht="15.75">
      <c r="A1" s="152" t="s">
        <v>15</v>
      </c>
      <c r="B1" s="152"/>
      <c r="C1" s="152"/>
      <c r="D1" s="152"/>
      <c r="E1" s="152"/>
      <c r="F1" s="152"/>
      <c r="G1" s="87"/>
    </row>
    <row r="2" spans="1:6" ht="15.75">
      <c r="A2" s="152" t="s">
        <v>44</v>
      </c>
      <c r="B2" s="152"/>
      <c r="C2" s="152"/>
      <c r="D2" s="152"/>
      <c r="E2" s="152"/>
      <c r="F2" s="152"/>
    </row>
    <row r="3" ht="12" customHeight="1"/>
    <row r="4" spans="2:6" ht="15.75" hidden="1" outlineLevel="1">
      <c r="B4" s="6" t="s">
        <v>73</v>
      </c>
      <c r="C4" s="6"/>
      <c r="D4" s="6"/>
      <c r="E4" s="6"/>
      <c r="F4" s="6"/>
    </row>
    <row r="5" spans="2:6" ht="15.75" hidden="1" outlineLevel="1">
      <c r="B5" s="6" t="s">
        <v>16</v>
      </c>
      <c r="C5" s="6"/>
      <c r="D5" s="6">
        <v>3126.18</v>
      </c>
      <c r="E5" s="6" t="s">
        <v>17</v>
      </c>
      <c r="F5" s="6"/>
    </row>
    <row r="6" ht="9" customHeight="1" collapsed="1"/>
    <row r="7" spans="2:6" ht="15.75">
      <c r="B7" s="3" t="s">
        <v>74</v>
      </c>
      <c r="C7" s="3"/>
      <c r="D7" s="7">
        <v>0</v>
      </c>
      <c r="E7" s="3" t="s">
        <v>22</v>
      </c>
      <c r="F7" s="3"/>
    </row>
    <row r="8" spans="2:6" ht="15.75">
      <c r="B8" s="3" t="s">
        <v>75</v>
      </c>
      <c r="C8" s="6"/>
      <c r="D8" s="8">
        <v>0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28.5" customHeight="1">
      <c r="A10" s="10" t="s">
        <v>23</v>
      </c>
      <c r="B10" s="11" t="s">
        <v>24</v>
      </c>
      <c r="C10" s="12" t="s">
        <v>76</v>
      </c>
      <c r="D10" s="12" t="s">
        <v>0</v>
      </c>
      <c r="E10" s="12" t="s">
        <v>26</v>
      </c>
      <c r="F10" s="12" t="s">
        <v>27</v>
      </c>
    </row>
    <row r="11" spans="1:9" s="16" customFormat="1" ht="30" customHeight="1">
      <c r="A11" s="10">
        <v>1</v>
      </c>
      <c r="B11" s="13" t="s">
        <v>1</v>
      </c>
      <c r="C11" s="14">
        <v>0</v>
      </c>
      <c r="D11" s="14">
        <f>171068.22+182634.4</f>
        <v>353702.62</v>
      </c>
      <c r="E11" s="14">
        <f>107272.65+141724.22</f>
        <v>248996.87</v>
      </c>
      <c r="F11" s="14">
        <f>C11-D11+E11</f>
        <v>-104705.75</v>
      </c>
      <c r="G11" s="3" t="s">
        <v>51</v>
      </c>
      <c r="H11" s="4">
        <v>11.32</v>
      </c>
      <c r="I11" s="77">
        <f>H11*10*I19</f>
        <v>353883.576</v>
      </c>
    </row>
    <row r="12" spans="1:11" s="16" customFormat="1" ht="30" customHeight="1">
      <c r="A12" s="10">
        <v>2</v>
      </c>
      <c r="B12" s="13" t="s">
        <v>2</v>
      </c>
      <c r="C12" s="14">
        <v>0</v>
      </c>
      <c r="D12" s="14">
        <f>J12</f>
        <v>64086.740000000005</v>
      </c>
      <c r="E12" s="14">
        <f>25665.7+19459.25</f>
        <v>45124.95</v>
      </c>
      <c r="F12" s="14">
        <f>C12-D12+E12</f>
        <v>-18961.790000000008</v>
      </c>
      <c r="G12" s="2" t="s">
        <v>52</v>
      </c>
      <c r="H12" s="2">
        <v>3.12</v>
      </c>
      <c r="I12" s="77">
        <f>H12*10*I19</f>
        <v>97536.816</v>
      </c>
      <c r="J12" s="16">
        <f>32346.83+727.55+32150.11-1979.07+841.32</f>
        <v>64086.740000000005</v>
      </c>
      <c r="K12" s="16">
        <f>19459.25+25665.7</f>
        <v>45124.95</v>
      </c>
    </row>
    <row r="13" spans="1:9" s="16" customFormat="1" ht="29.25" customHeight="1">
      <c r="A13" s="10">
        <v>3</v>
      </c>
      <c r="B13" s="13" t="s">
        <v>3</v>
      </c>
      <c r="C13" s="14">
        <v>0</v>
      </c>
      <c r="D13" s="14">
        <f>16989.28+20627.2</f>
        <v>37616.479999999996</v>
      </c>
      <c r="E13" s="14">
        <f>15923.74+9899.05</f>
        <v>25822.79</v>
      </c>
      <c r="F13" s="14">
        <f>C13-D13+E13</f>
        <v>-11793.689999999995</v>
      </c>
      <c r="G13" s="6" t="s">
        <v>53</v>
      </c>
      <c r="H13" s="2">
        <f>2.35</f>
        <v>2.35</v>
      </c>
      <c r="I13" s="77">
        <f>H13*10*I19</f>
        <v>73465.23</v>
      </c>
    </row>
    <row r="14" spans="1:9" s="16" customFormat="1" ht="30" customHeight="1">
      <c r="A14" s="10"/>
      <c r="B14" s="13" t="s">
        <v>5</v>
      </c>
      <c r="C14" s="14">
        <f>SUM(C11:C13)</f>
        <v>0</v>
      </c>
      <c r="D14" s="14">
        <f>SUM(D11:D13)</f>
        <v>455405.83999999997</v>
      </c>
      <c r="E14" s="14">
        <f>SUM(E11:E13)</f>
        <v>319944.61</v>
      </c>
      <c r="F14" s="14">
        <f>SUM(F11:F13)</f>
        <v>-135461.23</v>
      </c>
      <c r="G14" s="6" t="s">
        <v>54</v>
      </c>
      <c r="H14" s="2">
        <v>1.32</v>
      </c>
      <c r="I14" s="77">
        <f>H14*10*I19</f>
        <v>41265.576</v>
      </c>
    </row>
    <row r="15" ht="26.25" customHeight="1"/>
    <row r="16" spans="1:6" ht="11.25" customHeight="1">
      <c r="A16" s="152" t="s">
        <v>28</v>
      </c>
      <c r="B16" s="152"/>
      <c r="C16" s="152"/>
      <c r="D16" s="152"/>
      <c r="E16" s="152"/>
      <c r="F16" s="152"/>
    </row>
    <row r="17" spans="1:6" ht="15.75">
      <c r="A17" s="87"/>
      <c r="B17" s="87"/>
      <c r="C17" s="87"/>
      <c r="D17" s="87"/>
      <c r="E17" s="87"/>
      <c r="F17" s="87"/>
    </row>
    <row r="18" spans="1:10" ht="31.5">
      <c r="A18" s="12" t="s">
        <v>30</v>
      </c>
      <c r="B18" s="153" t="s">
        <v>6</v>
      </c>
      <c r="C18" s="153"/>
      <c r="D18" s="153"/>
      <c r="E18" s="153"/>
      <c r="F18" s="17" t="s">
        <v>7</v>
      </c>
      <c r="I18" s="154" t="s">
        <v>29</v>
      </c>
      <c r="J18" s="154"/>
    </row>
    <row r="19" spans="1:10" ht="15.75">
      <c r="A19" s="19">
        <v>1</v>
      </c>
      <c r="B19" s="155" t="s">
        <v>8</v>
      </c>
      <c r="C19" s="155"/>
      <c r="D19" s="155"/>
      <c r="E19" s="155"/>
      <c r="F19" s="20">
        <f>I12</f>
        <v>97536.816</v>
      </c>
      <c r="G19" s="18"/>
      <c r="I19" s="11">
        <f>D5</f>
        <v>3126.18</v>
      </c>
      <c r="J19" s="11">
        <v>2826.08</v>
      </c>
    </row>
    <row r="20" spans="1:10" ht="18" customHeight="1">
      <c r="A20" s="22">
        <v>2</v>
      </c>
      <c r="B20" s="147" t="s">
        <v>9</v>
      </c>
      <c r="C20" s="147"/>
      <c r="D20" s="147"/>
      <c r="E20" s="147"/>
      <c r="F20" s="23">
        <f>0.19*4*I19+0.21*6*I19</f>
        <v>6314.883599999999</v>
      </c>
      <c r="G20" s="21"/>
      <c r="H20" s="2" t="s">
        <v>31</v>
      </c>
      <c r="I20" s="11" t="s">
        <v>32</v>
      </c>
      <c r="J20" s="11" t="s">
        <v>33</v>
      </c>
    </row>
    <row r="21" spans="1:10" ht="18" customHeight="1">
      <c r="A21" s="22">
        <v>3</v>
      </c>
      <c r="B21" s="147" t="s">
        <v>34</v>
      </c>
      <c r="C21" s="147"/>
      <c r="D21" s="147"/>
      <c r="E21" s="147"/>
      <c r="F21" s="23">
        <f>I13</f>
        <v>73465.23</v>
      </c>
      <c r="G21" s="21">
        <f>F21/10</f>
        <v>7346.522999999999</v>
      </c>
      <c r="I21" s="11">
        <v>4331.49</v>
      </c>
      <c r="J21" s="11">
        <v>2826.08</v>
      </c>
    </row>
    <row r="22" spans="1:10" ht="18" customHeight="1">
      <c r="A22" s="22">
        <v>4</v>
      </c>
      <c r="B22" s="147" t="s">
        <v>35</v>
      </c>
      <c r="C22" s="147"/>
      <c r="D22" s="147"/>
      <c r="E22" s="147"/>
      <c r="F22" s="23">
        <f>D13</f>
        <v>37616.479999999996</v>
      </c>
      <c r="G22" s="2">
        <f>F22/10</f>
        <v>3761.6479999999997</v>
      </c>
      <c r="I22" s="11">
        <f>I21*12</f>
        <v>51977.88</v>
      </c>
      <c r="J22" s="11">
        <f>J21*12</f>
        <v>33912.96</v>
      </c>
    </row>
    <row r="23" spans="1:10" ht="18" customHeight="1">
      <c r="A23" s="22">
        <v>5</v>
      </c>
      <c r="B23" s="147" t="s">
        <v>10</v>
      </c>
      <c r="C23" s="147"/>
      <c r="D23" s="147"/>
      <c r="E23" s="147"/>
      <c r="F23" s="23">
        <f>F24+F25+F26+F27</f>
        <v>21146</v>
      </c>
      <c r="I23" s="88" t="s">
        <v>55</v>
      </c>
      <c r="J23" s="11"/>
    </row>
    <row r="24" spans="1:10" ht="18" customHeight="1">
      <c r="A24" s="22" t="s">
        <v>11</v>
      </c>
      <c r="B24" s="147" t="s">
        <v>36</v>
      </c>
      <c r="C24" s="147"/>
      <c r="D24" s="147"/>
      <c r="E24" s="147"/>
      <c r="F24" s="24">
        <f>F40+F41+F42+F43+F45+F46</f>
        <v>9137</v>
      </c>
      <c r="I24" s="11" t="s">
        <v>57</v>
      </c>
      <c r="J24" s="11">
        <v>700</v>
      </c>
    </row>
    <row r="25" spans="1:10" ht="16.5" customHeight="1">
      <c r="A25" s="22" t="s">
        <v>11</v>
      </c>
      <c r="B25" s="147" t="s">
        <v>37</v>
      </c>
      <c r="C25" s="147"/>
      <c r="D25" s="147"/>
      <c r="E25" s="147"/>
      <c r="F25" s="24">
        <f>F44</f>
        <v>492</v>
      </c>
      <c r="I25" s="11" t="s">
        <v>58</v>
      </c>
      <c r="J25" s="11">
        <v>700</v>
      </c>
    </row>
    <row r="26" spans="1:10" ht="16.5" customHeight="1">
      <c r="A26" s="22" t="s">
        <v>11</v>
      </c>
      <c r="B26" s="147" t="s">
        <v>38</v>
      </c>
      <c r="C26" s="147"/>
      <c r="D26" s="147"/>
      <c r="E26" s="147"/>
      <c r="F26" s="24">
        <f>F47</f>
        <v>757</v>
      </c>
      <c r="G26" s="6"/>
      <c r="I26" s="11" t="s">
        <v>59</v>
      </c>
      <c r="J26" s="11">
        <v>700</v>
      </c>
    </row>
    <row r="27" spans="1:10" ht="16.5" customHeight="1">
      <c r="A27" s="22" t="s">
        <v>11</v>
      </c>
      <c r="B27" s="147" t="s">
        <v>82</v>
      </c>
      <c r="C27" s="147"/>
      <c r="D27" s="147"/>
      <c r="E27" s="147"/>
      <c r="F27" s="24">
        <f>F39</f>
        <v>10760</v>
      </c>
      <c r="I27" s="11"/>
      <c r="J27" s="11"/>
    </row>
    <row r="28" spans="1:7" ht="17.25" customHeight="1">
      <c r="A28" s="22">
        <v>6</v>
      </c>
      <c r="B28" s="135" t="s">
        <v>72</v>
      </c>
      <c r="C28" s="135"/>
      <c r="D28" s="135"/>
      <c r="E28" s="135"/>
      <c r="F28" s="24">
        <f>J31</f>
        <v>650</v>
      </c>
      <c r="G28" s="6"/>
    </row>
    <row r="29" spans="1:7" ht="17.25" customHeight="1">
      <c r="A29" s="22">
        <v>7</v>
      </c>
      <c r="B29" s="135" t="s">
        <v>2</v>
      </c>
      <c r="C29" s="135"/>
      <c r="D29" s="135"/>
      <c r="E29" s="135"/>
      <c r="F29" s="24">
        <f>D12</f>
        <v>64086.740000000005</v>
      </c>
      <c r="G29" s="6"/>
    </row>
    <row r="30" spans="1:7" ht="17.25" customHeight="1">
      <c r="A30" s="22">
        <v>8</v>
      </c>
      <c r="B30" s="148" t="s">
        <v>85</v>
      </c>
      <c r="C30" s="149"/>
      <c r="D30" s="149"/>
      <c r="E30" s="150"/>
      <c r="F30" s="24">
        <v>1346.5</v>
      </c>
      <c r="G30" s="6"/>
    </row>
    <row r="31" spans="1:10" ht="17.25" customHeight="1">
      <c r="A31" s="25"/>
      <c r="B31" s="183" t="s">
        <v>12</v>
      </c>
      <c r="C31" s="183"/>
      <c r="D31" s="183"/>
      <c r="E31" s="183"/>
      <c r="F31" s="26">
        <f>F19+F21+F22+F23+F29+F28+F20</f>
        <v>300816.1496</v>
      </c>
      <c r="G31" s="6"/>
      <c r="I31" s="6" t="s">
        <v>60</v>
      </c>
      <c r="J31" s="2">
        <v>650</v>
      </c>
    </row>
    <row r="32" spans="1:7" s="27" customFormat="1" ht="17.25" customHeight="1">
      <c r="A32" s="5"/>
      <c r="B32" s="2"/>
      <c r="C32" s="2"/>
      <c r="D32" s="2"/>
      <c r="E32" s="2"/>
      <c r="F32" s="2"/>
      <c r="G32" s="3"/>
    </row>
    <row r="33" spans="1:6" ht="15.75">
      <c r="A33" s="142" t="s">
        <v>83</v>
      </c>
      <c r="B33" s="142"/>
      <c r="C33" s="142"/>
      <c r="D33" s="142"/>
      <c r="E33" s="142"/>
      <c r="F33" s="24">
        <f>D14-F31+D7</f>
        <v>154589.69039999996</v>
      </c>
    </row>
    <row r="34" spans="1:6" ht="18" customHeight="1">
      <c r="A34" s="142" t="s">
        <v>77</v>
      </c>
      <c r="B34" s="142"/>
      <c r="C34" s="142"/>
      <c r="D34" s="142"/>
      <c r="E34" s="142"/>
      <c r="F34" s="24">
        <f>F14</f>
        <v>-135461.23</v>
      </c>
    </row>
    <row r="35" spans="1:6" ht="15.75">
      <c r="A35" s="143" t="s">
        <v>71</v>
      </c>
      <c r="B35" s="143"/>
      <c r="C35" s="143"/>
      <c r="D35" s="143"/>
      <c r="E35" s="143"/>
      <c r="F35" s="24">
        <f>F34+F33</f>
        <v>19128.460399999953</v>
      </c>
    </row>
    <row r="36" ht="18" customHeight="1"/>
    <row r="37" ht="19.5" customHeight="1"/>
    <row r="38" spans="1:6" ht="15.75">
      <c r="A38" s="28" t="s">
        <v>23</v>
      </c>
      <c r="B38" s="28" t="s">
        <v>14</v>
      </c>
      <c r="C38" s="144" t="s">
        <v>40</v>
      </c>
      <c r="D38" s="145"/>
      <c r="E38" s="146"/>
      <c r="F38" s="28" t="s">
        <v>41</v>
      </c>
    </row>
    <row r="39" spans="1:6" ht="15.75">
      <c r="A39" s="38">
        <v>1</v>
      </c>
      <c r="B39" s="42" t="s">
        <v>78</v>
      </c>
      <c r="C39" s="180" t="s">
        <v>79</v>
      </c>
      <c r="D39" s="181"/>
      <c r="E39" s="182"/>
      <c r="F39" s="43">
        <f>538*2*10</f>
        <v>10760</v>
      </c>
    </row>
    <row r="40" spans="1:6" s="41" customFormat="1" ht="15.75">
      <c r="A40" s="44">
        <v>2</v>
      </c>
      <c r="B40" s="45">
        <v>42069</v>
      </c>
      <c r="C40" s="174" t="s">
        <v>48</v>
      </c>
      <c r="D40" s="175"/>
      <c r="E40" s="176"/>
      <c r="F40" s="46">
        <v>654</v>
      </c>
    </row>
    <row r="41" spans="1:6" s="51" customFormat="1" ht="30" customHeight="1">
      <c r="A41" s="44">
        <v>3</v>
      </c>
      <c r="B41" s="45">
        <v>42069</v>
      </c>
      <c r="C41" s="174" t="s">
        <v>80</v>
      </c>
      <c r="D41" s="175"/>
      <c r="E41" s="176"/>
      <c r="F41" s="46">
        <v>3921</v>
      </c>
    </row>
    <row r="42" spans="1:6" s="47" customFormat="1" ht="32.25" customHeight="1">
      <c r="A42" s="44">
        <v>4</v>
      </c>
      <c r="B42" s="45">
        <v>42081</v>
      </c>
      <c r="C42" s="174" t="s">
        <v>80</v>
      </c>
      <c r="D42" s="175"/>
      <c r="E42" s="176"/>
      <c r="F42" s="46">
        <v>2600</v>
      </c>
    </row>
    <row r="43" spans="1:6" s="47" customFormat="1" ht="15.75">
      <c r="A43" s="52">
        <v>5</v>
      </c>
      <c r="B43" s="53">
        <v>42124</v>
      </c>
      <c r="C43" s="177" t="s">
        <v>81</v>
      </c>
      <c r="D43" s="178"/>
      <c r="E43" s="179"/>
      <c r="F43" s="54">
        <v>654</v>
      </c>
    </row>
    <row r="44" spans="1:6" s="47" customFormat="1" ht="15.75">
      <c r="A44" s="60">
        <v>6</v>
      </c>
      <c r="B44" s="61">
        <v>42130</v>
      </c>
      <c r="C44" s="171" t="s">
        <v>50</v>
      </c>
      <c r="D44" s="172"/>
      <c r="E44" s="173"/>
      <c r="F44" s="62">
        <v>492</v>
      </c>
    </row>
    <row r="45" spans="1:6" s="63" customFormat="1" ht="29.25" customHeight="1">
      <c r="A45" s="60">
        <v>7</v>
      </c>
      <c r="B45" s="61">
        <v>42143</v>
      </c>
      <c r="C45" s="171" t="s">
        <v>81</v>
      </c>
      <c r="D45" s="172"/>
      <c r="E45" s="173"/>
      <c r="F45" s="62">
        <v>654</v>
      </c>
    </row>
    <row r="46" spans="1:6" s="63" customFormat="1" ht="32.25" customHeight="1">
      <c r="A46" s="69">
        <v>8</v>
      </c>
      <c r="B46" s="70">
        <v>42289</v>
      </c>
      <c r="C46" s="168" t="s">
        <v>56</v>
      </c>
      <c r="D46" s="169"/>
      <c r="E46" s="170"/>
      <c r="F46" s="71">
        <v>654</v>
      </c>
    </row>
    <row r="47" spans="1:6" s="63" customFormat="1" ht="15.75">
      <c r="A47" s="29">
        <v>9</v>
      </c>
      <c r="B47" s="36">
        <v>42331</v>
      </c>
      <c r="C47" s="165" t="s">
        <v>69</v>
      </c>
      <c r="D47" s="166"/>
      <c r="E47" s="167"/>
      <c r="F47" s="37">
        <v>757</v>
      </c>
    </row>
    <row r="48" spans="1:6" ht="27" customHeight="1">
      <c r="A48" s="134" t="s">
        <v>43</v>
      </c>
      <c r="B48" s="134"/>
      <c r="C48" s="134"/>
      <c r="D48" s="134"/>
      <c r="E48" s="134"/>
      <c r="F48" s="35">
        <f>SUM(F39:F47)</f>
        <v>21146</v>
      </c>
    </row>
  </sheetData>
  <sheetProtection selectLockedCells="1" selectUnlockedCells="1"/>
  <mergeCells count="32">
    <mergeCell ref="A1:F1"/>
    <mergeCell ref="A2:F2"/>
    <mergeCell ref="A16:F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C44:E44"/>
    <mergeCell ref="C38:E38"/>
    <mergeCell ref="C39:E39"/>
    <mergeCell ref="C40:E40"/>
    <mergeCell ref="B29:E29"/>
    <mergeCell ref="B31:E31"/>
    <mergeCell ref="A33:E33"/>
    <mergeCell ref="A34:E34"/>
    <mergeCell ref="A35:E35"/>
    <mergeCell ref="B30:E30"/>
    <mergeCell ref="B27:E27"/>
    <mergeCell ref="A48:E48"/>
    <mergeCell ref="I18:J18"/>
    <mergeCell ref="B28:E28"/>
    <mergeCell ref="C46:E46"/>
    <mergeCell ref="C47:E47"/>
    <mergeCell ref="C45:E45"/>
    <mergeCell ref="C41:E41"/>
    <mergeCell ref="C42:E42"/>
    <mergeCell ref="C43:E4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5"/>
  <sheetViews>
    <sheetView view="pageBreakPreview" zoomScaleSheetLayoutView="100" zoomScalePageLayoutView="0" workbookViewId="0" topLeftCell="A1">
      <selection activeCell="A34" sqref="A34:E34"/>
    </sheetView>
  </sheetViews>
  <sheetFormatPr defaultColWidth="9.140625" defaultRowHeight="12.75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52" t="s">
        <v>15</v>
      </c>
      <c r="B1" s="152"/>
      <c r="C1" s="152"/>
      <c r="D1" s="152"/>
      <c r="E1" s="152"/>
      <c r="F1" s="152"/>
      <c r="G1" s="1"/>
    </row>
    <row r="2" spans="1:9" ht="15.75">
      <c r="A2" s="152" t="s">
        <v>44</v>
      </c>
      <c r="B2" s="152"/>
      <c r="C2" s="152"/>
      <c r="D2" s="152"/>
      <c r="E2" s="152"/>
      <c r="F2" s="152"/>
      <c r="G2" s="3" t="s">
        <v>51</v>
      </c>
      <c r="H2" s="4">
        <v>11.32</v>
      </c>
      <c r="I2" s="2">
        <f>H2*12*H19</f>
        <v>424660.2912</v>
      </c>
    </row>
    <row r="3" spans="7:9" ht="12" customHeight="1">
      <c r="G3" s="2" t="s">
        <v>52</v>
      </c>
      <c r="H3" s="2">
        <v>3.12</v>
      </c>
      <c r="I3" s="2">
        <f>H3*12*H19</f>
        <v>117044.17919999998</v>
      </c>
    </row>
    <row r="4" spans="2:9" ht="15.75">
      <c r="B4" s="6" t="s">
        <v>45</v>
      </c>
      <c r="C4" s="6"/>
      <c r="D4" s="6"/>
      <c r="E4" s="6"/>
      <c r="F4" s="6"/>
      <c r="G4" s="6" t="s">
        <v>53</v>
      </c>
      <c r="H4" s="2">
        <f>2.35+0.69</f>
        <v>3.04</v>
      </c>
      <c r="I4" s="2">
        <f>H4*12*H19</f>
        <v>114043.0464</v>
      </c>
    </row>
    <row r="5" spans="2:9" ht="15.75">
      <c r="B5" s="6" t="s">
        <v>16</v>
      </c>
      <c r="C5" s="6"/>
      <c r="D5" s="6">
        <v>3126.18</v>
      </c>
      <c r="E5" s="6" t="s">
        <v>17</v>
      </c>
      <c r="F5" s="6"/>
      <c r="G5" s="6" t="s">
        <v>54</v>
      </c>
      <c r="H5" s="2">
        <v>1.32</v>
      </c>
      <c r="I5" s="2">
        <f>H5*12*H19</f>
        <v>49518.691199999994</v>
      </c>
    </row>
    <row r="6" ht="9" customHeight="1"/>
    <row r="7" spans="2:6" ht="15.75">
      <c r="B7" s="3" t="s">
        <v>18</v>
      </c>
      <c r="C7" s="3"/>
      <c r="D7" s="7" t="e">
        <f>#REF!</f>
        <v>#REF!</v>
      </c>
      <c r="E7" s="3" t="s">
        <v>19</v>
      </c>
      <c r="F7" s="3"/>
    </row>
    <row r="8" spans="2:6" ht="15.75">
      <c r="B8" s="3" t="s">
        <v>20</v>
      </c>
      <c r="C8" s="6"/>
      <c r="D8" s="8">
        <f>C15</f>
        <v>-373458.87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28.5" customHeight="1">
      <c r="A10" s="10" t="s">
        <v>23</v>
      </c>
      <c r="B10" s="11" t="s">
        <v>24</v>
      </c>
      <c r="C10" s="12" t="s">
        <v>25</v>
      </c>
      <c r="D10" s="12" t="s">
        <v>0</v>
      </c>
      <c r="E10" s="12" t="s">
        <v>26</v>
      </c>
      <c r="F10" s="12" t="s">
        <v>27</v>
      </c>
    </row>
    <row r="11" spans="1:8" s="16" customFormat="1" ht="30" customHeight="1">
      <c r="A11" s="10">
        <v>1</v>
      </c>
      <c r="B11" s="13" t="s">
        <v>1</v>
      </c>
      <c r="C11" s="14">
        <v>-313857.38</v>
      </c>
      <c r="D11" s="14"/>
      <c r="E11" s="14"/>
      <c r="F11" s="14">
        <f>C11-D11+E11</f>
        <v>-313857.38</v>
      </c>
      <c r="G11" s="15"/>
      <c r="H11" s="15"/>
    </row>
    <row r="12" spans="1:8" s="16" customFormat="1" ht="30" customHeight="1">
      <c r="A12" s="10">
        <v>2</v>
      </c>
      <c r="B12" s="13" t="s">
        <v>2</v>
      </c>
      <c r="C12" s="14">
        <v>-24569.11</v>
      </c>
      <c r="D12" s="14"/>
      <c r="E12" s="14"/>
      <c r="F12" s="14">
        <f>C12-D12+E12</f>
        <v>-24569.11</v>
      </c>
      <c r="G12" s="15"/>
      <c r="H12" s="15"/>
    </row>
    <row r="13" spans="1:8" s="16" customFormat="1" ht="29.25" customHeight="1">
      <c r="A13" s="10">
        <v>3</v>
      </c>
      <c r="B13" s="13" t="s">
        <v>3</v>
      </c>
      <c r="C13" s="14">
        <v>-17593.75</v>
      </c>
      <c r="D13" s="14"/>
      <c r="E13" s="14"/>
      <c r="F13" s="14">
        <f>C13-D13+E13</f>
        <v>-17593.75</v>
      </c>
      <c r="G13" s="15"/>
      <c r="H13" s="15"/>
    </row>
    <row r="14" spans="1:8" s="16" customFormat="1" ht="30" customHeight="1">
      <c r="A14" s="10">
        <v>4</v>
      </c>
      <c r="B14" s="13" t="s">
        <v>4</v>
      </c>
      <c r="C14" s="14">
        <v>-17438.63</v>
      </c>
      <c r="D14" s="14"/>
      <c r="E14" s="14"/>
      <c r="F14" s="14">
        <f>C14-D14+E14</f>
        <v>-17438.63</v>
      </c>
      <c r="G14" s="15"/>
      <c r="H14" s="15"/>
    </row>
    <row r="15" spans="1:6" ht="26.25" customHeight="1">
      <c r="A15" s="10"/>
      <c r="B15" s="13" t="s">
        <v>5</v>
      </c>
      <c r="C15" s="14">
        <f>SUM(C11:C14)</f>
        <v>-373458.87</v>
      </c>
      <c r="D15" s="14">
        <f>SUM(D11:D14)</f>
        <v>0</v>
      </c>
      <c r="E15" s="14">
        <f>SUM(E11:E14)</f>
        <v>0</v>
      </c>
      <c r="F15" s="14">
        <f>SUM(F11:F14)</f>
        <v>-373458.87</v>
      </c>
    </row>
    <row r="16" ht="11.25" customHeight="1"/>
    <row r="17" spans="1:6" ht="15.75">
      <c r="A17" s="152" t="s">
        <v>28</v>
      </c>
      <c r="B17" s="152"/>
      <c r="C17" s="152"/>
      <c r="D17" s="152"/>
      <c r="E17" s="152"/>
      <c r="F17" s="152"/>
    </row>
    <row r="18" spans="1:8" ht="15.75">
      <c r="A18" s="1"/>
      <c r="B18" s="1"/>
      <c r="C18" s="1"/>
      <c r="D18" s="1"/>
      <c r="E18" s="1"/>
      <c r="F18" s="1"/>
      <c r="H18" s="2" t="s">
        <v>29</v>
      </c>
    </row>
    <row r="19" spans="1:10" ht="33" customHeight="1">
      <c r="A19" s="12" t="s">
        <v>30</v>
      </c>
      <c r="B19" s="153" t="s">
        <v>6</v>
      </c>
      <c r="C19" s="153"/>
      <c r="D19" s="153"/>
      <c r="E19" s="153"/>
      <c r="F19" s="17" t="s">
        <v>7</v>
      </c>
      <c r="G19" s="18"/>
      <c r="H19" s="2">
        <f>D5</f>
        <v>3126.18</v>
      </c>
      <c r="J19" s="2">
        <v>2826.08</v>
      </c>
    </row>
    <row r="20" spans="1:10" ht="18" customHeight="1">
      <c r="A20" s="19">
        <v>1</v>
      </c>
      <c r="B20" s="155" t="s">
        <v>8</v>
      </c>
      <c r="C20" s="155"/>
      <c r="D20" s="155"/>
      <c r="E20" s="155"/>
      <c r="F20" s="20">
        <f>I3</f>
        <v>117044.17919999998</v>
      </c>
      <c r="G20" s="21"/>
      <c r="H20" s="2" t="s">
        <v>31</v>
      </c>
      <c r="I20" s="2" t="s">
        <v>32</v>
      </c>
      <c r="J20" s="2" t="s">
        <v>33</v>
      </c>
    </row>
    <row r="21" spans="1:10" ht="18" customHeight="1">
      <c r="A21" s="22">
        <v>2</v>
      </c>
      <c r="B21" s="147" t="s">
        <v>9</v>
      </c>
      <c r="C21" s="147"/>
      <c r="D21" s="147"/>
      <c r="E21" s="147"/>
      <c r="F21" s="23">
        <f>0.19*6*H19+0.21*6*H19</f>
        <v>7502.832</v>
      </c>
      <c r="G21" s="21"/>
      <c r="I21" s="2">
        <v>4331.49</v>
      </c>
      <c r="J21" s="2">
        <v>2826.08</v>
      </c>
    </row>
    <row r="22" spans="1:10" ht="18" customHeight="1">
      <c r="A22" s="22">
        <v>3</v>
      </c>
      <c r="B22" s="147" t="s">
        <v>34</v>
      </c>
      <c r="C22" s="147"/>
      <c r="D22" s="147"/>
      <c r="E22" s="147"/>
      <c r="F22" s="23">
        <f>I4</f>
        <v>114043.0464</v>
      </c>
      <c r="G22" s="68" t="s">
        <v>55</v>
      </c>
      <c r="I22" s="2">
        <f>I21*12</f>
        <v>51977.88</v>
      </c>
      <c r="J22" s="2">
        <f>J21*12</f>
        <v>33912.96</v>
      </c>
    </row>
    <row r="23" spans="1:8" ht="18" customHeight="1">
      <c r="A23" s="22">
        <v>4</v>
      </c>
      <c r="B23" s="147" t="s">
        <v>35</v>
      </c>
      <c r="C23" s="147"/>
      <c r="D23" s="147"/>
      <c r="E23" s="147"/>
      <c r="F23" s="23">
        <f>I5</f>
        <v>49518.691199999994</v>
      </c>
      <c r="G23" s="21" t="s">
        <v>57</v>
      </c>
      <c r="H23" s="2">
        <v>700</v>
      </c>
    </row>
    <row r="24" spans="1:8" ht="18" customHeight="1">
      <c r="A24" s="22">
        <v>5</v>
      </c>
      <c r="B24" s="147" t="s">
        <v>10</v>
      </c>
      <c r="C24" s="147"/>
      <c r="D24" s="147"/>
      <c r="E24" s="147"/>
      <c r="F24" s="23">
        <f>F25+F26+F27</f>
        <v>24471</v>
      </c>
      <c r="G24" s="21" t="s">
        <v>58</v>
      </c>
      <c r="H24" s="2">
        <v>700</v>
      </c>
    </row>
    <row r="25" spans="1:8" ht="16.5" customHeight="1">
      <c r="A25" s="22" t="s">
        <v>11</v>
      </c>
      <c r="B25" s="147" t="s">
        <v>36</v>
      </c>
      <c r="C25" s="147"/>
      <c r="D25" s="147"/>
      <c r="E25" s="147"/>
      <c r="F25" s="24">
        <f>F38+F39+F43+F44+F47+F49+F42</f>
        <v>11091</v>
      </c>
      <c r="G25" s="6" t="s">
        <v>59</v>
      </c>
      <c r="H25" s="2">
        <v>700</v>
      </c>
    </row>
    <row r="26" spans="1:7" ht="16.5" customHeight="1">
      <c r="A26" s="22" t="s">
        <v>11</v>
      </c>
      <c r="B26" s="147" t="s">
        <v>37</v>
      </c>
      <c r="C26" s="147"/>
      <c r="D26" s="147"/>
      <c r="E26" s="147"/>
      <c r="F26" s="24">
        <f>F40+F41+F45+F46+F48+F50+F52+F53+F56+F58+F59+F54+F51</f>
        <v>13380</v>
      </c>
      <c r="G26" s="6"/>
    </row>
    <row r="27" spans="1:8" ht="16.5" customHeight="1">
      <c r="A27" s="22" t="s">
        <v>11</v>
      </c>
      <c r="B27" s="147" t="s">
        <v>38</v>
      </c>
      <c r="C27" s="147"/>
      <c r="D27" s="147"/>
      <c r="E27" s="147"/>
      <c r="F27" s="24">
        <v>0</v>
      </c>
      <c r="G27" s="6" t="s">
        <v>60</v>
      </c>
      <c r="H27" s="2">
        <v>650</v>
      </c>
    </row>
    <row r="28" spans="1:7" ht="17.25" customHeight="1">
      <c r="A28" s="22">
        <v>6</v>
      </c>
      <c r="B28" s="135" t="s">
        <v>2</v>
      </c>
      <c r="C28" s="135"/>
      <c r="D28" s="135"/>
      <c r="E28" s="135"/>
      <c r="F28" s="24">
        <f>D12</f>
        <v>0</v>
      </c>
      <c r="G28" s="6"/>
    </row>
    <row r="29" spans="1:7" ht="17.25" customHeight="1">
      <c r="A29" s="22">
        <v>7</v>
      </c>
      <c r="B29" s="135" t="s">
        <v>4</v>
      </c>
      <c r="C29" s="135"/>
      <c r="D29" s="135"/>
      <c r="E29" s="135"/>
      <c r="F29" s="24">
        <f>D14</f>
        <v>0</v>
      </c>
      <c r="G29" s="6"/>
    </row>
    <row r="30" spans="1:7" s="27" customFormat="1" ht="21" customHeight="1">
      <c r="A30" s="25"/>
      <c r="B30" s="183" t="s">
        <v>12</v>
      </c>
      <c r="C30" s="183"/>
      <c r="D30" s="183"/>
      <c r="E30" s="183"/>
      <c r="F30" s="26">
        <f>F20+F21+F22+F23+F24+F29+F28</f>
        <v>312579.7488</v>
      </c>
      <c r="G30" s="3"/>
    </row>
    <row r="32" spans="1:6" ht="18" customHeight="1">
      <c r="A32" s="142" t="s">
        <v>70</v>
      </c>
      <c r="B32" s="142"/>
      <c r="C32" s="142"/>
      <c r="D32" s="142"/>
      <c r="E32" s="142"/>
      <c r="F32" s="24" t="e">
        <f>D15-F30+D7</f>
        <v>#REF!</v>
      </c>
    </row>
    <row r="33" spans="1:6" ht="20.25" customHeight="1">
      <c r="A33" s="142" t="s">
        <v>39</v>
      </c>
      <c r="B33" s="142"/>
      <c r="C33" s="142"/>
      <c r="D33" s="142"/>
      <c r="E33" s="142"/>
      <c r="F33" s="24">
        <f>F15</f>
        <v>-373458.87</v>
      </c>
    </row>
    <row r="34" spans="1:6" ht="18" customHeight="1">
      <c r="A34" s="143" t="s">
        <v>71</v>
      </c>
      <c r="B34" s="143"/>
      <c r="C34" s="143"/>
      <c r="D34" s="143"/>
      <c r="E34" s="143"/>
      <c r="F34" s="24">
        <f>F11</f>
        <v>-313857.38</v>
      </c>
    </row>
    <row r="35" ht="11.25" customHeight="1"/>
    <row r="37" spans="1:6" ht="15.75">
      <c r="A37" s="28" t="s">
        <v>23</v>
      </c>
      <c r="B37" s="28" t="s">
        <v>14</v>
      </c>
      <c r="C37" s="144" t="s">
        <v>40</v>
      </c>
      <c r="D37" s="145"/>
      <c r="E37" s="146"/>
      <c r="F37" s="28" t="s">
        <v>41</v>
      </c>
    </row>
    <row r="38" spans="1:6" s="41" customFormat="1" ht="27" customHeight="1">
      <c r="A38" s="38">
        <v>1</v>
      </c>
      <c r="B38" s="39">
        <v>42018</v>
      </c>
      <c r="C38" s="187" t="s">
        <v>46</v>
      </c>
      <c r="D38" s="188"/>
      <c r="E38" s="189"/>
      <c r="F38" s="40">
        <v>1948</v>
      </c>
    </row>
    <row r="39" spans="1:6" s="41" customFormat="1" ht="27" customHeight="1">
      <c r="A39" s="38">
        <v>2</v>
      </c>
      <c r="B39" s="39">
        <v>42020</v>
      </c>
      <c r="C39" s="187" t="s">
        <v>47</v>
      </c>
      <c r="D39" s="188"/>
      <c r="E39" s="189"/>
      <c r="F39" s="40">
        <v>660</v>
      </c>
    </row>
    <row r="40" spans="1:6" s="41" customFormat="1" ht="27" customHeight="1">
      <c r="A40" s="38">
        <v>3</v>
      </c>
      <c r="B40" s="42">
        <v>42029</v>
      </c>
      <c r="C40" s="180" t="s">
        <v>42</v>
      </c>
      <c r="D40" s="181"/>
      <c r="E40" s="182"/>
      <c r="F40" s="43">
        <f>716+358</f>
        <v>1074</v>
      </c>
    </row>
    <row r="41" spans="1:6" s="51" customFormat="1" ht="30" customHeight="1">
      <c r="A41" s="48">
        <v>4</v>
      </c>
      <c r="B41" s="49">
        <v>42060</v>
      </c>
      <c r="C41" s="190" t="s">
        <v>42</v>
      </c>
      <c r="D41" s="191"/>
      <c r="E41" s="192"/>
      <c r="F41" s="50">
        <f>716+358</f>
        <v>1074</v>
      </c>
    </row>
    <row r="42" spans="1:6" s="47" customFormat="1" ht="27" customHeight="1">
      <c r="A42" s="44">
        <v>5</v>
      </c>
      <c r="B42" s="45">
        <v>42069</v>
      </c>
      <c r="C42" s="174" t="s">
        <v>48</v>
      </c>
      <c r="D42" s="175"/>
      <c r="E42" s="176"/>
      <c r="F42" s="46">
        <v>654</v>
      </c>
    </row>
    <row r="43" spans="1:6" s="47" customFormat="1" ht="27" customHeight="1">
      <c r="A43" s="44">
        <v>6</v>
      </c>
      <c r="B43" s="45">
        <v>42069</v>
      </c>
      <c r="C43" s="174" t="s">
        <v>49</v>
      </c>
      <c r="D43" s="175"/>
      <c r="E43" s="176"/>
      <c r="F43" s="46">
        <v>3921</v>
      </c>
    </row>
    <row r="44" spans="1:6" s="47" customFormat="1" ht="34.5" customHeight="1">
      <c r="A44" s="44">
        <v>7</v>
      </c>
      <c r="B44" s="45">
        <v>42081</v>
      </c>
      <c r="C44" s="174" t="s">
        <v>49</v>
      </c>
      <c r="D44" s="175"/>
      <c r="E44" s="176"/>
      <c r="F44" s="46">
        <v>2600</v>
      </c>
    </row>
    <row r="45" spans="1:6" s="47" customFormat="1" ht="30" customHeight="1">
      <c r="A45" s="44">
        <v>8</v>
      </c>
      <c r="B45" s="45">
        <v>42088</v>
      </c>
      <c r="C45" s="205" t="s">
        <v>42</v>
      </c>
      <c r="D45" s="206"/>
      <c r="E45" s="207"/>
      <c r="F45" s="46">
        <f>716+358</f>
        <v>1074</v>
      </c>
    </row>
    <row r="46" spans="1:6" s="55" customFormat="1" ht="30" customHeight="1">
      <c r="A46" s="52">
        <v>9</v>
      </c>
      <c r="B46" s="53">
        <v>42119</v>
      </c>
      <c r="C46" s="208" t="s">
        <v>42</v>
      </c>
      <c r="D46" s="209"/>
      <c r="E46" s="210"/>
      <c r="F46" s="54">
        <f>716+358</f>
        <v>1074</v>
      </c>
    </row>
    <row r="47" spans="1:6" s="55" customFormat="1" ht="28.5" customHeight="1">
      <c r="A47" s="52">
        <v>10</v>
      </c>
      <c r="B47" s="53">
        <v>42124</v>
      </c>
      <c r="C47" s="177" t="s">
        <v>47</v>
      </c>
      <c r="D47" s="178"/>
      <c r="E47" s="179"/>
      <c r="F47" s="54">
        <v>654</v>
      </c>
    </row>
    <row r="48" spans="1:6" s="63" customFormat="1" ht="15.75">
      <c r="A48" s="60">
        <v>11</v>
      </c>
      <c r="B48" s="61">
        <v>42130</v>
      </c>
      <c r="C48" s="171" t="s">
        <v>50</v>
      </c>
      <c r="D48" s="172"/>
      <c r="E48" s="173"/>
      <c r="F48" s="62">
        <v>492</v>
      </c>
    </row>
    <row r="49" spans="1:6" s="63" customFormat="1" ht="34.5" customHeight="1">
      <c r="A49" s="60">
        <v>12</v>
      </c>
      <c r="B49" s="61">
        <v>42143</v>
      </c>
      <c r="C49" s="171" t="s">
        <v>47</v>
      </c>
      <c r="D49" s="172"/>
      <c r="E49" s="173"/>
      <c r="F49" s="62">
        <v>654</v>
      </c>
    </row>
    <row r="50" spans="1:6" s="63" customFormat="1" ht="30" customHeight="1">
      <c r="A50" s="60">
        <v>13</v>
      </c>
      <c r="B50" s="61">
        <v>42149</v>
      </c>
      <c r="C50" s="184" t="s">
        <v>42</v>
      </c>
      <c r="D50" s="185"/>
      <c r="E50" s="186"/>
      <c r="F50" s="62">
        <f>716+358</f>
        <v>1074</v>
      </c>
    </row>
    <row r="51" spans="1:6" s="59" customFormat="1" ht="30" customHeight="1">
      <c r="A51" s="56">
        <v>14</v>
      </c>
      <c r="B51" s="57">
        <v>42180</v>
      </c>
      <c r="C51" s="193" t="s">
        <v>42</v>
      </c>
      <c r="D51" s="194"/>
      <c r="E51" s="195"/>
      <c r="F51" s="58">
        <f>716+358</f>
        <v>1074</v>
      </c>
    </row>
    <row r="52" spans="1:6" s="67" customFormat="1" ht="27" customHeight="1">
      <c r="A52" s="64">
        <v>15</v>
      </c>
      <c r="B52" s="65">
        <v>42210</v>
      </c>
      <c r="C52" s="199" t="s">
        <v>42</v>
      </c>
      <c r="D52" s="200"/>
      <c r="E52" s="201"/>
      <c r="F52" s="66">
        <f aca="true" t="shared" si="0" ref="F52:F59">716+358</f>
        <v>1074</v>
      </c>
    </row>
    <row r="53" spans="1:6" ht="27" customHeight="1">
      <c r="A53" s="29">
        <v>16</v>
      </c>
      <c r="B53" s="36">
        <v>42241</v>
      </c>
      <c r="C53" s="196" t="s">
        <v>42</v>
      </c>
      <c r="D53" s="197"/>
      <c r="E53" s="198"/>
      <c r="F53" s="37">
        <f t="shared" si="0"/>
        <v>1074</v>
      </c>
    </row>
    <row r="54" spans="1:6" ht="27" customHeight="1">
      <c r="A54" s="29">
        <v>17</v>
      </c>
      <c r="B54" s="36">
        <v>42272</v>
      </c>
      <c r="C54" s="196" t="s">
        <v>42</v>
      </c>
      <c r="D54" s="197"/>
      <c r="E54" s="198"/>
      <c r="F54" s="37">
        <f t="shared" si="0"/>
        <v>1074</v>
      </c>
    </row>
    <row r="55" spans="1:6" s="72" customFormat="1" ht="28.5" customHeight="1">
      <c r="A55" s="69">
        <v>19</v>
      </c>
      <c r="B55" s="70">
        <v>42289</v>
      </c>
      <c r="C55" s="168" t="s">
        <v>56</v>
      </c>
      <c r="D55" s="169"/>
      <c r="E55" s="170"/>
      <c r="F55" s="71">
        <v>654</v>
      </c>
    </row>
    <row r="56" spans="1:6" s="72" customFormat="1" ht="27" customHeight="1">
      <c r="A56" s="69">
        <v>18</v>
      </c>
      <c r="B56" s="70">
        <v>42302</v>
      </c>
      <c r="C56" s="202" t="s">
        <v>42</v>
      </c>
      <c r="D56" s="203"/>
      <c r="E56" s="204"/>
      <c r="F56" s="71">
        <f t="shared" si="0"/>
        <v>1074</v>
      </c>
    </row>
    <row r="57" spans="1:6" ht="15.75">
      <c r="A57" s="29">
        <v>21</v>
      </c>
      <c r="B57" s="30">
        <v>42331</v>
      </c>
      <c r="C57" s="165" t="s">
        <v>69</v>
      </c>
      <c r="D57" s="166"/>
      <c r="E57" s="167"/>
      <c r="F57" s="31">
        <v>757</v>
      </c>
    </row>
    <row r="58" spans="1:6" ht="27" customHeight="1">
      <c r="A58" s="29">
        <v>19</v>
      </c>
      <c r="B58" s="36">
        <v>42333</v>
      </c>
      <c r="C58" s="196" t="s">
        <v>42</v>
      </c>
      <c r="D58" s="197"/>
      <c r="E58" s="198"/>
      <c r="F58" s="37">
        <f t="shared" si="0"/>
        <v>1074</v>
      </c>
    </row>
    <row r="59" spans="1:6" ht="27" customHeight="1">
      <c r="A59" s="29">
        <v>20</v>
      </c>
      <c r="B59" s="36">
        <v>42363</v>
      </c>
      <c r="C59" s="196" t="s">
        <v>42</v>
      </c>
      <c r="D59" s="197"/>
      <c r="E59" s="198"/>
      <c r="F59" s="37">
        <f t="shared" si="0"/>
        <v>1074</v>
      </c>
    </row>
    <row r="60" spans="1:6" ht="34.5" customHeight="1">
      <c r="A60" s="29">
        <v>22</v>
      </c>
      <c r="B60" s="30"/>
      <c r="C60" s="165"/>
      <c r="D60" s="166"/>
      <c r="E60" s="167"/>
      <c r="F60" s="31"/>
    </row>
    <row r="61" spans="1:6" ht="15.75">
      <c r="A61" s="29">
        <v>23</v>
      </c>
      <c r="B61" s="30"/>
      <c r="C61" s="165"/>
      <c r="D61" s="166"/>
      <c r="E61" s="167"/>
      <c r="F61" s="31"/>
    </row>
    <row r="62" spans="1:6" ht="15.75">
      <c r="A62" s="29">
        <v>24</v>
      </c>
      <c r="B62" s="30"/>
      <c r="C62" s="165"/>
      <c r="D62" s="166"/>
      <c r="E62" s="167"/>
      <c r="F62" s="31"/>
    </row>
    <row r="63" spans="1:6" ht="28.5" customHeight="1">
      <c r="A63" s="29">
        <v>25</v>
      </c>
      <c r="B63" s="30"/>
      <c r="C63" s="165"/>
      <c r="D63" s="166"/>
      <c r="E63" s="167"/>
      <c r="F63" s="31"/>
    </row>
    <row r="64" spans="1:6" ht="15.75">
      <c r="A64" s="29">
        <v>26</v>
      </c>
      <c r="B64" s="30"/>
      <c r="C64" s="165"/>
      <c r="D64" s="166"/>
      <c r="E64" s="167"/>
      <c r="F64" s="31"/>
    </row>
    <row r="65" spans="1:6" ht="34.5" customHeight="1">
      <c r="A65" s="29">
        <v>27</v>
      </c>
      <c r="B65" s="30"/>
      <c r="C65" s="165"/>
      <c r="D65" s="166"/>
      <c r="E65" s="167"/>
      <c r="F65" s="31"/>
    </row>
    <row r="66" spans="1:6" ht="15.75">
      <c r="A66" s="29">
        <v>28</v>
      </c>
      <c r="B66" s="30"/>
      <c r="C66" s="165"/>
      <c r="D66" s="166"/>
      <c r="E66" s="167"/>
      <c r="F66" s="31"/>
    </row>
    <row r="67" spans="1:6" ht="24.75" customHeight="1">
      <c r="A67" s="29">
        <v>29</v>
      </c>
      <c r="B67" s="30"/>
      <c r="C67" s="165"/>
      <c r="D67" s="166"/>
      <c r="E67" s="167"/>
      <c r="F67" s="31"/>
    </row>
    <row r="68" spans="1:6" ht="15.75">
      <c r="A68" s="29">
        <v>4</v>
      </c>
      <c r="B68" s="30"/>
      <c r="C68" s="165"/>
      <c r="D68" s="166"/>
      <c r="E68" s="167"/>
      <c r="F68" s="31"/>
    </row>
    <row r="69" spans="1:6" ht="30.75" customHeight="1">
      <c r="A69" s="29">
        <v>5</v>
      </c>
      <c r="B69" s="30"/>
      <c r="C69" s="165"/>
      <c r="D69" s="166"/>
      <c r="E69" s="167"/>
      <c r="F69" s="31"/>
    </row>
    <row r="70" spans="1:6" ht="34.5" customHeight="1">
      <c r="A70" s="29">
        <v>4</v>
      </c>
      <c r="B70" s="30"/>
      <c r="C70" s="165"/>
      <c r="D70" s="166"/>
      <c r="E70" s="167"/>
      <c r="F70" s="31"/>
    </row>
    <row r="71" spans="1:6" ht="15.75">
      <c r="A71" s="10">
        <v>23</v>
      </c>
      <c r="B71" s="32"/>
      <c r="C71" s="211"/>
      <c r="D71" s="212"/>
      <c r="E71" s="213"/>
      <c r="F71" s="14"/>
    </row>
    <row r="72" spans="1:6" ht="15.75">
      <c r="A72" s="10">
        <v>24</v>
      </c>
      <c r="B72" s="34"/>
      <c r="C72" s="211"/>
      <c r="D72" s="212"/>
      <c r="E72" s="213"/>
      <c r="F72" s="14"/>
    </row>
    <row r="73" spans="1:6" ht="27" customHeight="1">
      <c r="A73" s="10">
        <v>25</v>
      </c>
      <c r="B73" s="32"/>
      <c r="C73" s="211"/>
      <c r="D73" s="212"/>
      <c r="E73" s="213"/>
      <c r="F73" s="14"/>
    </row>
    <row r="74" spans="1:6" ht="15.75">
      <c r="A74" s="10">
        <v>26</v>
      </c>
      <c r="B74" s="32"/>
      <c r="C74" s="136"/>
      <c r="D74" s="137"/>
      <c r="E74" s="138"/>
      <c r="F74" s="33"/>
    </row>
    <row r="75" spans="1:6" s="27" customFormat="1" ht="15.75">
      <c r="A75" s="134" t="s">
        <v>43</v>
      </c>
      <c r="B75" s="134"/>
      <c r="C75" s="134"/>
      <c r="D75" s="134"/>
      <c r="E75" s="134"/>
      <c r="F75" s="35">
        <f>SUM(F38:F74)</f>
        <v>25882</v>
      </c>
    </row>
  </sheetData>
  <sheetProtection selectLockedCells="1" selectUnlockedCells="1"/>
  <mergeCells count="57">
    <mergeCell ref="A75:E75"/>
    <mergeCell ref="C71:E71"/>
    <mergeCell ref="C72:E72"/>
    <mergeCell ref="C73:E73"/>
    <mergeCell ref="C63:E63"/>
    <mergeCell ref="C61:E61"/>
    <mergeCell ref="C68:E68"/>
    <mergeCell ref="C69:E69"/>
    <mergeCell ref="C70:E70"/>
    <mergeCell ref="C74:E74"/>
    <mergeCell ref="C46:E46"/>
    <mergeCell ref="C64:E64"/>
    <mergeCell ref="C65:E65"/>
    <mergeCell ref="C66:E66"/>
    <mergeCell ref="C67:E67"/>
    <mergeCell ref="C58:E58"/>
    <mergeCell ref="C59:E59"/>
    <mergeCell ref="C57:E57"/>
    <mergeCell ref="C60:E60"/>
    <mergeCell ref="C47:E47"/>
    <mergeCell ref="C41:E41"/>
    <mergeCell ref="C62:E62"/>
    <mergeCell ref="C55:E55"/>
    <mergeCell ref="C51:E51"/>
    <mergeCell ref="C53:E53"/>
    <mergeCell ref="C54:E54"/>
    <mergeCell ref="C52:E52"/>
    <mergeCell ref="C56:E56"/>
    <mergeCell ref="C48:E48"/>
    <mergeCell ref="C45:E45"/>
    <mergeCell ref="A33:E33"/>
    <mergeCell ref="A34:E34"/>
    <mergeCell ref="C38:E38"/>
    <mergeCell ref="C39:E39"/>
    <mergeCell ref="C37:E37"/>
    <mergeCell ref="C49:E49"/>
    <mergeCell ref="C44:E44"/>
    <mergeCell ref="C40:E40"/>
    <mergeCell ref="C42:E42"/>
    <mergeCell ref="C43:E43"/>
    <mergeCell ref="B23:E23"/>
    <mergeCell ref="B24:E24"/>
    <mergeCell ref="B25:E25"/>
    <mergeCell ref="B26:E26"/>
    <mergeCell ref="B27:E27"/>
    <mergeCell ref="C50:E50"/>
    <mergeCell ref="B28:E28"/>
    <mergeCell ref="B29:E29"/>
    <mergeCell ref="B30:E30"/>
    <mergeCell ref="A32:E32"/>
    <mergeCell ref="B22:E22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7"/>
  <sheetViews>
    <sheetView view="pageBreakPreview" zoomScaleSheetLayoutView="100" zoomScalePageLayoutView="0" workbookViewId="0" topLeftCell="A13">
      <selection activeCell="M27" sqref="M27"/>
    </sheetView>
  </sheetViews>
  <sheetFormatPr defaultColWidth="9.140625" defaultRowHeight="12.75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52" t="s">
        <v>62</v>
      </c>
      <c r="B1" s="152"/>
      <c r="C1" s="152"/>
      <c r="D1" s="152"/>
      <c r="E1" s="152"/>
      <c r="F1" s="152"/>
      <c r="G1" s="74"/>
    </row>
    <row r="2" spans="1:9" ht="15.75">
      <c r="A2" s="152" t="s">
        <v>44</v>
      </c>
      <c r="B2" s="152"/>
      <c r="C2" s="152"/>
      <c r="D2" s="152"/>
      <c r="E2" s="152"/>
      <c r="F2" s="152"/>
      <c r="G2" s="3" t="s">
        <v>51</v>
      </c>
      <c r="H2" s="4">
        <v>11.32</v>
      </c>
      <c r="I2" s="77">
        <f>H2*10*H19</f>
        <v>353883.576</v>
      </c>
    </row>
    <row r="3" spans="7:9" ht="12" customHeight="1">
      <c r="G3" s="2" t="s">
        <v>52</v>
      </c>
      <c r="H3" s="2">
        <v>3.12</v>
      </c>
      <c r="I3" s="77">
        <f>H3*10*H19</f>
        <v>97536.816</v>
      </c>
    </row>
    <row r="4" spans="2:9" ht="15.75">
      <c r="B4" s="6" t="s">
        <v>45</v>
      </c>
      <c r="C4" s="6"/>
      <c r="D4" s="6"/>
      <c r="E4" s="6"/>
      <c r="F4" s="6"/>
      <c r="G4" s="6" t="s">
        <v>53</v>
      </c>
      <c r="H4" s="2">
        <f>2.35</f>
        <v>2.35</v>
      </c>
      <c r="I4" s="77">
        <f>H4*10*H19</f>
        <v>73465.23</v>
      </c>
    </row>
    <row r="5" spans="2:9" ht="15.75">
      <c r="B5" s="6" t="s">
        <v>16</v>
      </c>
      <c r="C5" s="6"/>
      <c r="D5" s="6">
        <v>3126.18</v>
      </c>
      <c r="E5" s="6" t="s">
        <v>17</v>
      </c>
      <c r="F5" s="6"/>
      <c r="G5" s="6" t="s">
        <v>54</v>
      </c>
      <c r="H5" s="2">
        <v>1.32</v>
      </c>
      <c r="I5" s="77">
        <f>H5*10*2826.08</f>
        <v>37304.256</v>
      </c>
    </row>
    <row r="6" ht="9" customHeight="1"/>
    <row r="7" spans="2:6" ht="15.75">
      <c r="B7" s="3" t="s">
        <v>18</v>
      </c>
      <c r="C7" s="3"/>
      <c r="D7" s="7" t="e">
        <f>#REF!</f>
        <v>#REF!</v>
      </c>
      <c r="E7" s="3" t="s">
        <v>19</v>
      </c>
      <c r="F7" s="3"/>
    </row>
    <row r="8" spans="2:6" ht="15.75">
      <c r="B8" s="3" t="s">
        <v>20</v>
      </c>
      <c r="C8" s="6"/>
      <c r="D8" s="8">
        <f>C15</f>
        <v>-373458.87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33" customHeight="1">
      <c r="A10" s="10" t="s">
        <v>23</v>
      </c>
      <c r="B10" s="11" t="s">
        <v>24</v>
      </c>
      <c r="C10" s="12" t="s">
        <v>25</v>
      </c>
      <c r="D10" s="12" t="s">
        <v>0</v>
      </c>
      <c r="E10" s="12" t="s">
        <v>26</v>
      </c>
      <c r="F10" s="12" t="s">
        <v>63</v>
      </c>
    </row>
    <row r="11" spans="1:8" s="16" customFormat="1" ht="30" customHeight="1">
      <c r="A11" s="10">
        <v>1</v>
      </c>
      <c r="B11" s="13" t="s">
        <v>1</v>
      </c>
      <c r="C11" s="14">
        <v>-313857.38</v>
      </c>
      <c r="D11" s="14">
        <f>40585.88+34249.78+72810.16+64188.88+95921.04+50186.48</f>
        <v>357942.22</v>
      </c>
      <c r="E11" s="14">
        <f>50048.05+95964.03+214379.12</f>
        <v>360391.2</v>
      </c>
      <c r="F11" s="14">
        <f>C11-D11+E11</f>
        <v>-311408.39999999997</v>
      </c>
      <c r="G11" s="15"/>
      <c r="H11" s="15"/>
    </row>
    <row r="12" spans="1:8" s="16" customFormat="1" ht="30" customHeight="1">
      <c r="A12" s="10">
        <v>2</v>
      </c>
      <c r="B12" s="13" t="s">
        <v>2</v>
      </c>
      <c r="C12" s="14">
        <v>-24569.11</v>
      </c>
      <c r="D12" s="14">
        <f>6473.2+6202.58+13185.67+11624.23+17370.94+9088.58</f>
        <v>63945.2</v>
      </c>
      <c r="E12" s="14">
        <f>8449.85+7962.94+38855.9</f>
        <v>55268.69</v>
      </c>
      <c r="F12" s="14">
        <f>C12-D12+E12</f>
        <v>-33245.619999999995</v>
      </c>
      <c r="G12" s="15"/>
      <c r="H12" s="15"/>
    </row>
    <row r="13" spans="1:8" s="16" customFormat="1" ht="29.25" customHeight="1">
      <c r="A13" s="10">
        <v>3</v>
      </c>
      <c r="B13" s="13" t="s">
        <v>3</v>
      </c>
      <c r="C13" s="14">
        <v>-17593.75</v>
      </c>
      <c r="D13" s="14">
        <f>3691.76+3361.76+5852.08+11185.04+7406.72+6040.24</f>
        <v>37537.6</v>
      </c>
      <c r="E13" s="14">
        <f>4945.75+3555.79+22579.85</f>
        <v>31081.39</v>
      </c>
      <c r="F13" s="14">
        <f>C13-D13+E13</f>
        <v>-24049.96</v>
      </c>
      <c r="G13" s="15"/>
      <c r="H13" s="15"/>
    </row>
    <row r="14" spans="1:8" s="16" customFormat="1" ht="30" customHeight="1">
      <c r="A14" s="10">
        <v>4</v>
      </c>
      <c r="B14" s="13" t="s">
        <v>4</v>
      </c>
      <c r="C14" s="14">
        <v>-17438.63</v>
      </c>
      <c r="D14" s="14">
        <v>0</v>
      </c>
      <c r="E14" s="14">
        <f>1833.32</f>
        <v>1833.32</v>
      </c>
      <c r="F14" s="14">
        <f>C14-D14+E14</f>
        <v>-15605.310000000001</v>
      </c>
      <c r="G14" s="15"/>
      <c r="H14" s="15"/>
    </row>
    <row r="15" spans="1:6" s="27" customFormat="1" ht="26.25" customHeight="1">
      <c r="A15" s="75"/>
      <c r="B15" s="17" t="s">
        <v>5</v>
      </c>
      <c r="C15" s="35">
        <f>SUM(C11:C14)</f>
        <v>-373458.87</v>
      </c>
      <c r="D15" s="35">
        <f>SUM(D11:D14)</f>
        <v>459425.01999999996</v>
      </c>
      <c r="E15" s="35">
        <f>SUM(E11:E14)</f>
        <v>448574.60000000003</v>
      </c>
      <c r="F15" s="35">
        <f>SUM(F11:F14)</f>
        <v>-384309.29</v>
      </c>
    </row>
    <row r="16" ht="11.25" customHeight="1"/>
    <row r="17" spans="1:6" ht="15.75">
      <c r="A17" s="152" t="s">
        <v>28</v>
      </c>
      <c r="B17" s="152"/>
      <c r="C17" s="152"/>
      <c r="D17" s="152"/>
      <c r="E17" s="152"/>
      <c r="F17" s="152"/>
    </row>
    <row r="18" spans="1:8" ht="15.75">
      <c r="A18" s="74"/>
      <c r="B18" s="74"/>
      <c r="C18" s="74"/>
      <c r="D18" s="74"/>
      <c r="E18" s="74"/>
      <c r="F18" s="74"/>
      <c r="H18" s="2" t="s">
        <v>29</v>
      </c>
    </row>
    <row r="19" spans="1:8" ht="33" customHeight="1">
      <c r="A19" s="12" t="s">
        <v>30</v>
      </c>
      <c r="B19" s="153" t="s">
        <v>6</v>
      </c>
      <c r="C19" s="153"/>
      <c r="D19" s="153"/>
      <c r="E19" s="153"/>
      <c r="F19" s="17" t="s">
        <v>7</v>
      </c>
      <c r="G19" s="18"/>
      <c r="H19" s="2">
        <f>D5</f>
        <v>3126.18</v>
      </c>
    </row>
    <row r="20" spans="1:10" ht="18" customHeight="1">
      <c r="A20" s="19">
        <v>1</v>
      </c>
      <c r="B20" s="155" t="s">
        <v>8</v>
      </c>
      <c r="C20" s="155"/>
      <c r="D20" s="155"/>
      <c r="E20" s="155"/>
      <c r="F20" s="20">
        <f>I3</f>
        <v>97536.816</v>
      </c>
      <c r="G20" s="21"/>
      <c r="H20" s="2" t="s">
        <v>31</v>
      </c>
      <c r="I20" s="11" t="s">
        <v>32</v>
      </c>
      <c r="J20" s="11" t="s">
        <v>33</v>
      </c>
    </row>
    <row r="21" spans="1:10" ht="18" customHeight="1">
      <c r="A21" s="22">
        <v>2</v>
      </c>
      <c r="B21" s="147" t="s">
        <v>9</v>
      </c>
      <c r="C21" s="147"/>
      <c r="D21" s="147"/>
      <c r="E21" s="147"/>
      <c r="F21" s="23">
        <f>0.19*6*H19+0.21*4*H19</f>
        <v>6189.8364</v>
      </c>
      <c r="G21" s="21"/>
      <c r="I21" s="83">
        <v>4331.49</v>
      </c>
      <c r="J21" s="83">
        <v>3325.61</v>
      </c>
    </row>
    <row r="22" spans="1:10" ht="18" customHeight="1">
      <c r="A22" s="22">
        <v>3</v>
      </c>
      <c r="B22" s="147" t="s">
        <v>34</v>
      </c>
      <c r="C22" s="147"/>
      <c r="D22" s="147"/>
      <c r="E22" s="147"/>
      <c r="F22" s="23">
        <f>I22+H23+H24+H25</f>
        <v>54077.88</v>
      </c>
      <c r="G22" s="214" t="s">
        <v>55</v>
      </c>
      <c r="H22" s="214"/>
      <c r="I22" s="84">
        <f>I21*12</f>
        <v>51977.88</v>
      </c>
      <c r="J22" s="83">
        <f>J21*10</f>
        <v>33256.1</v>
      </c>
    </row>
    <row r="23" spans="1:10" ht="18" customHeight="1">
      <c r="A23" s="22">
        <v>4</v>
      </c>
      <c r="B23" s="147" t="s">
        <v>35</v>
      </c>
      <c r="C23" s="147"/>
      <c r="D23" s="147"/>
      <c r="E23" s="147"/>
      <c r="F23" s="23">
        <f>J22</f>
        <v>33256.1</v>
      </c>
      <c r="G23" s="11" t="s">
        <v>57</v>
      </c>
      <c r="H23" s="11">
        <v>700</v>
      </c>
      <c r="I23" s="84"/>
      <c r="J23" s="83"/>
    </row>
    <row r="24" spans="1:8" ht="18" customHeight="1">
      <c r="A24" s="22">
        <v>5</v>
      </c>
      <c r="B24" s="147" t="s">
        <v>10</v>
      </c>
      <c r="C24" s="147"/>
      <c r="D24" s="147"/>
      <c r="E24" s="147"/>
      <c r="F24" s="23">
        <f>F25+F26+F27</f>
        <v>22977</v>
      </c>
      <c r="G24" s="11" t="s">
        <v>58</v>
      </c>
      <c r="H24" s="11">
        <v>700</v>
      </c>
    </row>
    <row r="25" spans="1:8" ht="16.5" customHeight="1">
      <c r="A25" s="22" t="s">
        <v>11</v>
      </c>
      <c r="B25" s="147" t="s">
        <v>36</v>
      </c>
      <c r="C25" s="147"/>
      <c r="D25" s="147"/>
      <c r="E25" s="147"/>
      <c r="F25" s="23">
        <f>F38+F39+F43+F44+F47+F49+F42+F55</f>
        <v>11745</v>
      </c>
      <c r="G25" s="11" t="s">
        <v>59</v>
      </c>
      <c r="H25" s="11">
        <v>700</v>
      </c>
    </row>
    <row r="26" spans="1:7" ht="16.5" customHeight="1">
      <c r="A26" s="22" t="s">
        <v>11</v>
      </c>
      <c r="B26" s="147" t="s">
        <v>37</v>
      </c>
      <c r="C26" s="147"/>
      <c r="D26" s="147"/>
      <c r="E26" s="147"/>
      <c r="F26" s="24">
        <f>F40+F41+F45+F46+F48+F50+F51+F52+F53+F54+F56</f>
        <v>11232</v>
      </c>
      <c r="G26" s="6"/>
    </row>
    <row r="27" spans="1:8" ht="16.5" customHeight="1">
      <c r="A27" s="22" t="s">
        <v>11</v>
      </c>
      <c r="B27" s="147" t="s">
        <v>38</v>
      </c>
      <c r="C27" s="147"/>
      <c r="D27" s="147"/>
      <c r="E27" s="147"/>
      <c r="F27" s="24">
        <v>0</v>
      </c>
      <c r="G27" s="6" t="s">
        <v>60</v>
      </c>
      <c r="H27" s="2">
        <v>650</v>
      </c>
    </row>
    <row r="28" spans="1:7" ht="17.25" customHeight="1">
      <c r="A28" s="22">
        <v>6</v>
      </c>
      <c r="B28" s="135" t="s">
        <v>67</v>
      </c>
      <c r="C28" s="135"/>
      <c r="D28" s="135"/>
      <c r="E28" s="135"/>
      <c r="F28" s="24">
        <v>650</v>
      </c>
      <c r="G28" s="6"/>
    </row>
    <row r="29" spans="1:7" ht="17.25" customHeight="1">
      <c r="A29" s="22">
        <v>7</v>
      </c>
      <c r="B29" s="135" t="s">
        <v>2</v>
      </c>
      <c r="C29" s="135"/>
      <c r="D29" s="135"/>
      <c r="E29" s="135"/>
      <c r="F29" s="24">
        <f>D12</f>
        <v>63945.2</v>
      </c>
      <c r="G29" s="6"/>
    </row>
    <row r="30" spans="1:7" s="27" customFormat="1" ht="21" customHeight="1">
      <c r="A30" s="25"/>
      <c r="B30" s="183" t="s">
        <v>68</v>
      </c>
      <c r="C30" s="183"/>
      <c r="D30" s="183"/>
      <c r="E30" s="183"/>
      <c r="F30" s="26">
        <f>F20+F21+F22+F23+F24+F29+F28</f>
        <v>278632.8324</v>
      </c>
      <c r="G30" s="3"/>
    </row>
    <row r="32" spans="1:6" ht="18" customHeight="1">
      <c r="A32" s="142" t="s">
        <v>64</v>
      </c>
      <c r="B32" s="142"/>
      <c r="C32" s="142"/>
      <c r="D32" s="142"/>
      <c r="E32" s="142"/>
      <c r="F32" s="24" t="e">
        <f>D15-F30+D7</f>
        <v>#REF!</v>
      </c>
    </row>
    <row r="33" spans="1:6" ht="20.25" customHeight="1">
      <c r="A33" s="142" t="s">
        <v>65</v>
      </c>
      <c r="B33" s="142"/>
      <c r="C33" s="142"/>
      <c r="D33" s="142"/>
      <c r="E33" s="142"/>
      <c r="F33" s="24">
        <f>F15</f>
        <v>-384309.29</v>
      </c>
    </row>
    <row r="34" spans="1:6" ht="18" customHeight="1">
      <c r="A34" s="143" t="s">
        <v>13</v>
      </c>
      <c r="B34" s="143"/>
      <c r="C34" s="143"/>
      <c r="D34" s="143"/>
      <c r="E34" s="143"/>
      <c r="F34" s="24">
        <f>F11</f>
        <v>-311408.39999999997</v>
      </c>
    </row>
    <row r="35" ht="11.25" customHeight="1"/>
    <row r="37" spans="1:6" ht="15.75">
      <c r="A37" s="28" t="s">
        <v>23</v>
      </c>
      <c r="B37" s="28" t="s">
        <v>14</v>
      </c>
      <c r="C37" s="144" t="s">
        <v>40</v>
      </c>
      <c r="D37" s="145"/>
      <c r="E37" s="146"/>
      <c r="F37" s="28" t="s">
        <v>41</v>
      </c>
    </row>
    <row r="38" spans="1:6" ht="15.75">
      <c r="A38" s="29">
        <v>1</v>
      </c>
      <c r="B38" s="78">
        <v>42018</v>
      </c>
      <c r="C38" s="159" t="s">
        <v>46</v>
      </c>
      <c r="D38" s="160"/>
      <c r="E38" s="161"/>
      <c r="F38" s="79">
        <v>1948</v>
      </c>
    </row>
    <row r="39" spans="1:6" ht="31.5" customHeight="1">
      <c r="A39" s="29">
        <v>2</v>
      </c>
      <c r="B39" s="78">
        <v>42020</v>
      </c>
      <c r="C39" s="159" t="s">
        <v>47</v>
      </c>
      <c r="D39" s="160"/>
      <c r="E39" s="161"/>
      <c r="F39" s="80">
        <v>660</v>
      </c>
    </row>
    <row r="40" spans="1:6" ht="31.5" customHeight="1">
      <c r="A40" s="29">
        <v>3</v>
      </c>
      <c r="B40" s="81">
        <v>42029</v>
      </c>
      <c r="C40" s="196" t="s">
        <v>42</v>
      </c>
      <c r="D40" s="197"/>
      <c r="E40" s="198"/>
      <c r="F40" s="82">
        <f>716+358</f>
        <v>1074</v>
      </c>
    </row>
    <row r="41" spans="1:6" ht="31.5" customHeight="1">
      <c r="A41" s="29">
        <v>4</v>
      </c>
      <c r="B41" s="36">
        <v>42060</v>
      </c>
      <c r="C41" s="196" t="s">
        <v>42</v>
      </c>
      <c r="D41" s="197"/>
      <c r="E41" s="198"/>
      <c r="F41" s="37">
        <f>716+358</f>
        <v>1074</v>
      </c>
    </row>
    <row r="42" spans="1:6" ht="15.75">
      <c r="A42" s="29">
        <v>5</v>
      </c>
      <c r="B42" s="36">
        <v>42069</v>
      </c>
      <c r="C42" s="165" t="s">
        <v>48</v>
      </c>
      <c r="D42" s="166"/>
      <c r="E42" s="167"/>
      <c r="F42" s="37">
        <v>654</v>
      </c>
    </row>
    <row r="43" spans="1:6" ht="31.5" customHeight="1">
      <c r="A43" s="29">
        <v>6</v>
      </c>
      <c r="B43" s="36">
        <v>42069</v>
      </c>
      <c r="C43" s="165" t="s">
        <v>49</v>
      </c>
      <c r="D43" s="166"/>
      <c r="E43" s="167"/>
      <c r="F43" s="37">
        <v>3921</v>
      </c>
    </row>
    <row r="44" spans="1:6" ht="31.5" customHeight="1">
      <c r="A44" s="29">
        <v>7</v>
      </c>
      <c r="B44" s="36">
        <v>42081</v>
      </c>
      <c r="C44" s="165" t="s">
        <v>49</v>
      </c>
      <c r="D44" s="166"/>
      <c r="E44" s="167"/>
      <c r="F44" s="37">
        <v>2600</v>
      </c>
    </row>
    <row r="45" spans="1:6" ht="31.5" customHeight="1">
      <c r="A45" s="29">
        <v>8</v>
      </c>
      <c r="B45" s="36">
        <v>42088</v>
      </c>
      <c r="C45" s="196" t="s">
        <v>42</v>
      </c>
      <c r="D45" s="197"/>
      <c r="E45" s="198"/>
      <c r="F45" s="37">
        <f>716+358</f>
        <v>1074</v>
      </c>
    </row>
    <row r="46" spans="1:6" ht="31.5" customHeight="1">
      <c r="A46" s="29">
        <v>9</v>
      </c>
      <c r="B46" s="36">
        <v>42119</v>
      </c>
      <c r="C46" s="196" t="s">
        <v>42</v>
      </c>
      <c r="D46" s="197"/>
      <c r="E46" s="198"/>
      <c r="F46" s="37">
        <f>716+358</f>
        <v>1074</v>
      </c>
    </row>
    <row r="47" spans="1:6" ht="31.5" customHeight="1">
      <c r="A47" s="29">
        <v>10</v>
      </c>
      <c r="B47" s="36">
        <v>42124</v>
      </c>
      <c r="C47" s="165" t="s">
        <v>47</v>
      </c>
      <c r="D47" s="166"/>
      <c r="E47" s="167"/>
      <c r="F47" s="37">
        <v>654</v>
      </c>
    </row>
    <row r="48" spans="1:6" ht="15.75">
      <c r="A48" s="29">
        <v>11</v>
      </c>
      <c r="B48" s="36">
        <v>42130</v>
      </c>
      <c r="C48" s="165" t="s">
        <v>50</v>
      </c>
      <c r="D48" s="166"/>
      <c r="E48" s="167"/>
      <c r="F48" s="37">
        <v>492</v>
      </c>
    </row>
    <row r="49" spans="1:6" ht="31.5" customHeight="1">
      <c r="A49" s="29">
        <v>12</v>
      </c>
      <c r="B49" s="36">
        <v>42143</v>
      </c>
      <c r="C49" s="165" t="s">
        <v>47</v>
      </c>
      <c r="D49" s="166"/>
      <c r="E49" s="167"/>
      <c r="F49" s="37">
        <v>654</v>
      </c>
    </row>
    <row r="50" spans="1:6" ht="31.5" customHeight="1">
      <c r="A50" s="29">
        <v>13</v>
      </c>
      <c r="B50" s="36">
        <v>42149</v>
      </c>
      <c r="C50" s="196" t="s">
        <v>42</v>
      </c>
      <c r="D50" s="197"/>
      <c r="E50" s="198"/>
      <c r="F50" s="37">
        <f>716+358</f>
        <v>1074</v>
      </c>
    </row>
    <row r="51" spans="1:6" ht="31.5" customHeight="1">
      <c r="A51" s="29">
        <v>14</v>
      </c>
      <c r="B51" s="36">
        <v>42180</v>
      </c>
      <c r="C51" s="196" t="s">
        <v>42</v>
      </c>
      <c r="D51" s="197"/>
      <c r="E51" s="198"/>
      <c r="F51" s="37">
        <f>716+358</f>
        <v>1074</v>
      </c>
    </row>
    <row r="52" spans="1:6" ht="31.5" customHeight="1">
      <c r="A52" s="29">
        <v>15</v>
      </c>
      <c r="B52" s="36">
        <v>42210</v>
      </c>
      <c r="C52" s="196" t="s">
        <v>42</v>
      </c>
      <c r="D52" s="197"/>
      <c r="E52" s="198"/>
      <c r="F52" s="37">
        <f>716+358</f>
        <v>1074</v>
      </c>
    </row>
    <row r="53" spans="1:6" ht="31.5" customHeight="1">
      <c r="A53" s="29">
        <v>16</v>
      </c>
      <c r="B53" s="36">
        <v>42241</v>
      </c>
      <c r="C53" s="196" t="s">
        <v>42</v>
      </c>
      <c r="D53" s="197"/>
      <c r="E53" s="198"/>
      <c r="F53" s="37">
        <f>716+358</f>
        <v>1074</v>
      </c>
    </row>
    <row r="54" spans="1:6" ht="31.5" customHeight="1">
      <c r="A54" s="29">
        <v>17</v>
      </c>
      <c r="B54" s="36">
        <v>42272</v>
      </c>
      <c r="C54" s="196" t="s">
        <v>42</v>
      </c>
      <c r="D54" s="197"/>
      <c r="E54" s="198"/>
      <c r="F54" s="37">
        <f>716+358</f>
        <v>1074</v>
      </c>
    </row>
    <row r="55" spans="1:6" ht="31.5" customHeight="1">
      <c r="A55" s="29">
        <v>18</v>
      </c>
      <c r="B55" s="36">
        <v>42289</v>
      </c>
      <c r="C55" s="165" t="s">
        <v>56</v>
      </c>
      <c r="D55" s="166"/>
      <c r="E55" s="167"/>
      <c r="F55" s="37">
        <v>654</v>
      </c>
    </row>
    <row r="56" spans="1:6" ht="31.5" customHeight="1">
      <c r="A56" s="29">
        <v>19</v>
      </c>
      <c r="B56" s="36">
        <v>42302</v>
      </c>
      <c r="C56" s="196" t="s">
        <v>42</v>
      </c>
      <c r="D56" s="197"/>
      <c r="E56" s="198"/>
      <c r="F56" s="37">
        <f>716+358</f>
        <v>1074</v>
      </c>
    </row>
    <row r="57" spans="1:6" s="27" customFormat="1" ht="15.75">
      <c r="A57" s="134" t="s">
        <v>43</v>
      </c>
      <c r="B57" s="134"/>
      <c r="C57" s="134"/>
      <c r="D57" s="134"/>
      <c r="E57" s="134"/>
      <c r="F57" s="35">
        <f>SUM(F38:F56)</f>
        <v>22977</v>
      </c>
    </row>
  </sheetData>
  <sheetProtection selectLockedCells="1" selectUnlockedCells="1"/>
  <mergeCells count="40">
    <mergeCell ref="B27:E27"/>
    <mergeCell ref="A1:F1"/>
    <mergeCell ref="A2:F2"/>
    <mergeCell ref="A17:F17"/>
    <mergeCell ref="B19:E19"/>
    <mergeCell ref="B20:E20"/>
    <mergeCell ref="B21:E21"/>
    <mergeCell ref="B29:E29"/>
    <mergeCell ref="B30:E30"/>
    <mergeCell ref="A32:E32"/>
    <mergeCell ref="A33:E33"/>
    <mergeCell ref="A34:E34"/>
    <mergeCell ref="B22:E22"/>
    <mergeCell ref="B23:E23"/>
    <mergeCell ref="B24:E24"/>
    <mergeCell ref="B25:E25"/>
    <mergeCell ref="B26:E26"/>
    <mergeCell ref="C37:E37"/>
    <mergeCell ref="C38:E38"/>
    <mergeCell ref="C39:E39"/>
    <mergeCell ref="C40:E40"/>
    <mergeCell ref="C41:E41"/>
    <mergeCell ref="C42:E42"/>
    <mergeCell ref="C54:E54"/>
    <mergeCell ref="C43:E43"/>
    <mergeCell ref="C44:E44"/>
    <mergeCell ref="C45:E45"/>
    <mergeCell ref="C46:E46"/>
    <mergeCell ref="C47:E47"/>
    <mergeCell ref="C48:E48"/>
    <mergeCell ref="A57:E57"/>
    <mergeCell ref="B28:E28"/>
    <mergeCell ref="G22:H22"/>
    <mergeCell ref="C55:E55"/>
    <mergeCell ref="C56:E56"/>
    <mergeCell ref="C49:E49"/>
    <mergeCell ref="C50:E50"/>
    <mergeCell ref="C51:E51"/>
    <mergeCell ref="C52:E52"/>
    <mergeCell ref="C53:E53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2"/>
  <sheetViews>
    <sheetView view="pageBreakPreview" zoomScaleSheetLayoutView="100" zoomScalePageLayoutView="0" workbookViewId="0" topLeftCell="A1">
      <selection activeCell="B19" sqref="B19:E19"/>
    </sheetView>
  </sheetViews>
  <sheetFormatPr defaultColWidth="9.140625" defaultRowHeight="12.75"/>
  <cols>
    <col min="1" max="1" width="4.421875" style="5" customWidth="1"/>
    <col min="2" max="2" width="16.710937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0.140625" style="2" customWidth="1"/>
    <col min="8" max="8" width="9.574218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7" ht="15.75">
      <c r="A1" s="152" t="s">
        <v>61</v>
      </c>
      <c r="B1" s="152"/>
      <c r="C1" s="152"/>
      <c r="D1" s="152"/>
      <c r="E1" s="152"/>
      <c r="F1" s="152"/>
      <c r="G1" s="73"/>
    </row>
    <row r="2" spans="1:9" ht="15.75">
      <c r="A2" s="152" t="s">
        <v>44</v>
      </c>
      <c r="B2" s="152"/>
      <c r="C2" s="152"/>
      <c r="D2" s="152"/>
      <c r="E2" s="152"/>
      <c r="F2" s="152"/>
      <c r="G2" s="3" t="s">
        <v>51</v>
      </c>
      <c r="H2" s="76">
        <v>11.32</v>
      </c>
      <c r="I2" s="77">
        <f>H2*8*H18</f>
        <v>294899.58400000003</v>
      </c>
    </row>
    <row r="3" spans="7:9" ht="12" customHeight="1">
      <c r="G3" s="2" t="s">
        <v>52</v>
      </c>
      <c r="H3" s="2">
        <v>3.12</v>
      </c>
      <c r="I3" s="77">
        <f>H3*8*H18</f>
        <v>81279.744</v>
      </c>
    </row>
    <row r="4" spans="2:9" ht="15.75">
      <c r="B4" s="6"/>
      <c r="C4" s="6"/>
      <c r="D4" s="6"/>
      <c r="E4" s="6"/>
      <c r="F4" s="6"/>
      <c r="G4" s="6" t="s">
        <v>53</v>
      </c>
      <c r="H4" s="2">
        <f>2.35</f>
        <v>2.35</v>
      </c>
      <c r="I4" s="77">
        <f>H4*8*H18</f>
        <v>61220.32000000001</v>
      </c>
    </row>
    <row r="5" spans="2:9" ht="15.75">
      <c r="B5" s="6" t="s">
        <v>16</v>
      </c>
      <c r="C5" s="6"/>
      <c r="D5" s="6">
        <v>3256.4</v>
      </c>
      <c r="E5" s="6" t="s">
        <v>17</v>
      </c>
      <c r="F5" s="6"/>
      <c r="G5" s="6" t="s">
        <v>54</v>
      </c>
      <c r="H5" s="2">
        <v>1.32</v>
      </c>
      <c r="I5" s="77">
        <f>H5*8*H18</f>
        <v>34387.584</v>
      </c>
    </row>
    <row r="6" ht="9" customHeight="1"/>
    <row r="7" spans="2:6" ht="15.75">
      <c r="B7" s="3" t="s">
        <v>18</v>
      </c>
      <c r="C7" s="3"/>
      <c r="D7" s="7">
        <v>0</v>
      </c>
      <c r="E7" s="3" t="s">
        <v>22</v>
      </c>
      <c r="F7" s="3"/>
    </row>
    <row r="8" spans="2:6" ht="15.75">
      <c r="B8" s="3" t="s">
        <v>20</v>
      </c>
      <c r="C8" s="6"/>
      <c r="D8" s="8">
        <f>C14</f>
        <v>0</v>
      </c>
      <c r="E8" s="6" t="s">
        <v>21</v>
      </c>
      <c r="F8" s="6"/>
    </row>
    <row r="9" spans="2:6" ht="15.75">
      <c r="B9" s="6"/>
      <c r="C9" s="6"/>
      <c r="D9" s="6"/>
      <c r="E9" s="6"/>
      <c r="F9" s="9" t="s">
        <v>22</v>
      </c>
    </row>
    <row r="10" spans="1:6" s="5" customFormat="1" ht="30.75" customHeight="1">
      <c r="A10" s="10" t="s">
        <v>23</v>
      </c>
      <c r="B10" s="11" t="s">
        <v>24</v>
      </c>
      <c r="C10" s="12" t="s">
        <v>25</v>
      </c>
      <c r="D10" s="12" t="s">
        <v>0</v>
      </c>
      <c r="E10" s="12" t="s">
        <v>26</v>
      </c>
      <c r="F10" s="12" t="s">
        <v>27</v>
      </c>
    </row>
    <row r="11" spans="1:8" s="16" customFormat="1" ht="30" customHeight="1">
      <c r="A11" s="10">
        <v>1</v>
      </c>
      <c r="B11" s="13" t="s">
        <v>1</v>
      </c>
      <c r="C11" s="14">
        <v>0</v>
      </c>
      <c r="D11" s="14">
        <f>72810.16+64188.88+95921.04+50186.48</f>
        <v>283106.56</v>
      </c>
      <c r="E11" s="14">
        <f>214379.12</f>
        <v>214379.12</v>
      </c>
      <c r="F11" s="14">
        <f>C11-D11+E11</f>
        <v>-68727.44</v>
      </c>
      <c r="G11" s="15"/>
      <c r="H11" s="15"/>
    </row>
    <row r="12" spans="1:8" s="16" customFormat="1" ht="15.75">
      <c r="A12" s="10">
        <v>2</v>
      </c>
      <c r="B12" s="13" t="s">
        <v>2</v>
      </c>
      <c r="C12" s="14">
        <v>0</v>
      </c>
      <c r="D12" s="14">
        <f>13185.67+11624.23+17370.94+9088.58</f>
        <v>51269.42</v>
      </c>
      <c r="E12" s="14">
        <f>38855.9</f>
        <v>38855.9</v>
      </c>
      <c r="F12" s="14">
        <f>C12-D12+E12</f>
        <v>-12413.519999999997</v>
      </c>
      <c r="G12" s="15"/>
      <c r="H12" s="15"/>
    </row>
    <row r="13" spans="1:8" s="16" customFormat="1" ht="29.25" customHeight="1">
      <c r="A13" s="10">
        <v>3</v>
      </c>
      <c r="B13" s="13" t="s">
        <v>3</v>
      </c>
      <c r="C13" s="14">
        <v>0</v>
      </c>
      <c r="D13" s="14">
        <f>5852.08+11185.04+7406.72+6040.24</f>
        <v>30484.08</v>
      </c>
      <c r="E13" s="14">
        <f>22579.85</f>
        <v>22579.85</v>
      </c>
      <c r="F13" s="14">
        <f>C13-D13+E13</f>
        <v>-7904.230000000003</v>
      </c>
      <c r="G13" s="15"/>
      <c r="H13" s="15"/>
    </row>
    <row r="14" spans="1:6" s="27" customFormat="1" ht="26.25" customHeight="1">
      <c r="A14" s="75"/>
      <c r="B14" s="17" t="s">
        <v>5</v>
      </c>
      <c r="C14" s="35">
        <f>SUM(C11:C13)</f>
        <v>0</v>
      </c>
      <c r="D14" s="35">
        <f>SUM(D11:D13)</f>
        <v>364860.06</v>
      </c>
      <c r="E14" s="35">
        <f>SUM(E11:E13)</f>
        <v>275814.87</v>
      </c>
      <c r="F14" s="35">
        <f>SUM(F11:F13)</f>
        <v>-89045.19</v>
      </c>
    </row>
    <row r="15" ht="11.25" customHeight="1"/>
    <row r="16" spans="1:6" ht="15.75">
      <c r="A16" s="152" t="s">
        <v>28</v>
      </c>
      <c r="B16" s="152"/>
      <c r="C16" s="152"/>
      <c r="D16" s="152"/>
      <c r="E16" s="152"/>
      <c r="F16" s="152"/>
    </row>
    <row r="17" spans="1:8" ht="15.75">
      <c r="A17" s="73"/>
      <c r="B17" s="73"/>
      <c r="C17" s="73"/>
      <c r="D17" s="73"/>
      <c r="E17" s="73"/>
      <c r="F17" s="73"/>
      <c r="H17" s="2" t="s">
        <v>29</v>
      </c>
    </row>
    <row r="18" spans="1:8" ht="33" customHeight="1">
      <c r="A18" s="12" t="s">
        <v>30</v>
      </c>
      <c r="B18" s="153" t="s">
        <v>6</v>
      </c>
      <c r="C18" s="153"/>
      <c r="D18" s="153"/>
      <c r="E18" s="153"/>
      <c r="F18" s="17" t="s">
        <v>7</v>
      </c>
      <c r="G18" s="18"/>
      <c r="H18" s="2">
        <f>D5</f>
        <v>3256.4</v>
      </c>
    </row>
    <row r="19" spans="1:10" ht="18" customHeight="1">
      <c r="A19" s="19">
        <v>1</v>
      </c>
      <c r="B19" s="155" t="s">
        <v>8</v>
      </c>
      <c r="C19" s="155"/>
      <c r="D19" s="155"/>
      <c r="E19" s="155"/>
      <c r="F19" s="20">
        <f>I3</f>
        <v>81279.744</v>
      </c>
      <c r="G19" s="21"/>
      <c r="H19" s="10" t="s">
        <v>31</v>
      </c>
      <c r="I19" s="11" t="s">
        <v>32</v>
      </c>
      <c r="J19" s="11" t="s">
        <v>33</v>
      </c>
    </row>
    <row r="20" spans="1:10" ht="18" customHeight="1">
      <c r="A20" s="22">
        <v>2</v>
      </c>
      <c r="B20" s="147" t="s">
        <v>9</v>
      </c>
      <c r="C20" s="147"/>
      <c r="D20" s="147"/>
      <c r="E20" s="147"/>
      <c r="F20" s="23">
        <f>0.19*6*H18+0.21*6*H18</f>
        <v>7815.360000000001</v>
      </c>
      <c r="G20" s="21"/>
      <c r="I20" s="86">
        <v>4022</v>
      </c>
      <c r="J20" s="86">
        <v>3043</v>
      </c>
    </row>
    <row r="21" spans="1:10" ht="18" customHeight="1">
      <c r="A21" s="22">
        <v>3</v>
      </c>
      <c r="B21" s="147" t="s">
        <v>84</v>
      </c>
      <c r="C21" s="147"/>
      <c r="D21" s="147"/>
      <c r="E21" s="147"/>
      <c r="F21" s="23">
        <f>I4</f>
        <v>61220.32000000001</v>
      </c>
      <c r="G21" s="215" t="s">
        <v>55</v>
      </c>
      <c r="H21" s="216"/>
      <c r="I21" s="84">
        <f>I20*8</f>
        <v>32176</v>
      </c>
      <c r="J21" s="83">
        <f>J20*8</f>
        <v>24344</v>
      </c>
    </row>
    <row r="22" spans="1:10" ht="18" customHeight="1">
      <c r="A22" s="22">
        <v>4</v>
      </c>
      <c r="B22" s="147" t="s">
        <v>35</v>
      </c>
      <c r="C22" s="147"/>
      <c r="D22" s="147"/>
      <c r="E22" s="147"/>
      <c r="F22" s="23">
        <f>I5</f>
        <v>34387.584</v>
      </c>
      <c r="G22" s="11" t="s">
        <v>57</v>
      </c>
      <c r="H22" s="85">
        <v>700</v>
      </c>
      <c r="I22" s="84">
        <f>I21*1.322</f>
        <v>42536.672</v>
      </c>
      <c r="J22" s="83">
        <f>I21*1.322</f>
        <v>42536.672</v>
      </c>
    </row>
    <row r="23" spans="1:8" ht="18" customHeight="1">
      <c r="A23" s="22">
        <v>5</v>
      </c>
      <c r="B23" s="147" t="s">
        <v>10</v>
      </c>
      <c r="C23" s="147"/>
      <c r="D23" s="147"/>
      <c r="E23" s="147"/>
      <c r="F23" s="23">
        <f>F24+F25+F26</f>
        <v>17567</v>
      </c>
      <c r="G23" s="11" t="s">
        <v>58</v>
      </c>
      <c r="H23" s="85">
        <v>700</v>
      </c>
    </row>
    <row r="24" spans="1:8" ht="16.5" customHeight="1">
      <c r="A24" s="22" t="s">
        <v>11</v>
      </c>
      <c r="B24" s="147" t="s">
        <v>36</v>
      </c>
      <c r="C24" s="147"/>
      <c r="D24" s="147"/>
      <c r="E24" s="147"/>
      <c r="F24" s="23">
        <f>F38+F39+F42+F44+F37</f>
        <v>8483</v>
      </c>
      <c r="G24" s="11" t="s">
        <v>59</v>
      </c>
      <c r="H24" s="85">
        <v>700</v>
      </c>
    </row>
    <row r="25" spans="1:7" ht="16.5" customHeight="1">
      <c r="A25" s="22" t="s">
        <v>11</v>
      </c>
      <c r="B25" s="147" t="s">
        <v>37</v>
      </c>
      <c r="C25" s="147"/>
      <c r="D25" s="147"/>
      <c r="E25" s="147"/>
      <c r="F25" s="24">
        <f>F40+F41+F43+F45+F47+F48+F51+F49+F46</f>
        <v>9084</v>
      </c>
      <c r="G25" s="6"/>
    </row>
    <row r="26" spans="1:8" ht="16.5" customHeight="1">
      <c r="A26" s="22" t="s">
        <v>11</v>
      </c>
      <c r="B26" s="147" t="s">
        <v>38</v>
      </c>
      <c r="C26" s="147"/>
      <c r="D26" s="147"/>
      <c r="E26" s="147"/>
      <c r="F26" s="24">
        <v>0</v>
      </c>
      <c r="G26" s="6" t="s">
        <v>60</v>
      </c>
      <c r="H26" s="2">
        <v>650</v>
      </c>
    </row>
    <row r="27" spans="1:7" ht="17.25" customHeight="1">
      <c r="A27" s="22">
        <v>6</v>
      </c>
      <c r="B27" s="135" t="s">
        <v>67</v>
      </c>
      <c r="C27" s="135"/>
      <c r="D27" s="135"/>
      <c r="E27" s="135"/>
      <c r="F27" s="24">
        <v>600</v>
      </c>
      <c r="G27" s="6"/>
    </row>
    <row r="28" spans="1:7" ht="17.25" customHeight="1">
      <c r="A28" s="22">
        <v>7</v>
      </c>
      <c r="B28" s="135" t="s">
        <v>2</v>
      </c>
      <c r="C28" s="135"/>
      <c r="D28" s="135"/>
      <c r="E28" s="135"/>
      <c r="F28" s="24">
        <f>D12</f>
        <v>51269.42</v>
      </c>
      <c r="G28" s="6"/>
    </row>
    <row r="29" spans="1:7" s="27" customFormat="1" ht="21" customHeight="1">
      <c r="A29" s="25"/>
      <c r="B29" s="183" t="s">
        <v>12</v>
      </c>
      <c r="C29" s="183"/>
      <c r="D29" s="183"/>
      <c r="E29" s="183"/>
      <c r="F29" s="26">
        <f>F19+F20+F21+F22+F23+F28+F27</f>
        <v>254139.428</v>
      </c>
      <c r="G29" s="3"/>
    </row>
    <row r="31" spans="1:6" ht="18" customHeight="1">
      <c r="A31" s="142" t="s">
        <v>64</v>
      </c>
      <c r="B31" s="142"/>
      <c r="C31" s="142"/>
      <c r="D31" s="142"/>
      <c r="E31" s="142"/>
      <c r="F31" s="24">
        <f>D14-F29+D7</f>
        <v>110720.63199999998</v>
      </c>
    </row>
    <row r="32" spans="1:6" ht="20.25" customHeight="1">
      <c r="A32" s="142" t="s">
        <v>65</v>
      </c>
      <c r="B32" s="142"/>
      <c r="C32" s="142"/>
      <c r="D32" s="142"/>
      <c r="E32" s="142"/>
      <c r="F32" s="24">
        <f>F14</f>
        <v>-89045.19</v>
      </c>
    </row>
    <row r="33" spans="1:6" ht="18" customHeight="1">
      <c r="A33" s="143" t="s">
        <v>66</v>
      </c>
      <c r="B33" s="143"/>
      <c r="C33" s="143"/>
      <c r="D33" s="143"/>
      <c r="E33" s="143"/>
      <c r="F33" s="24">
        <f>F11</f>
        <v>-68727.44</v>
      </c>
    </row>
    <row r="34" ht="11.25" customHeight="1"/>
    <row r="36" spans="1:6" ht="15.75">
      <c r="A36" s="28" t="s">
        <v>23</v>
      </c>
      <c r="B36" s="28" t="s">
        <v>14</v>
      </c>
      <c r="C36" s="144" t="s">
        <v>40</v>
      </c>
      <c r="D36" s="145"/>
      <c r="E36" s="146"/>
      <c r="F36" s="28" t="s">
        <v>41</v>
      </c>
    </row>
    <row r="37" spans="1:6" ht="27" customHeight="1">
      <c r="A37" s="29">
        <v>1</v>
      </c>
      <c r="B37" s="36">
        <v>42069</v>
      </c>
      <c r="C37" s="165" t="s">
        <v>48</v>
      </c>
      <c r="D37" s="166"/>
      <c r="E37" s="167"/>
      <c r="F37" s="37">
        <v>654</v>
      </c>
    </row>
    <row r="38" spans="1:6" ht="27" customHeight="1">
      <c r="A38" s="29">
        <v>2</v>
      </c>
      <c r="B38" s="36">
        <v>42069</v>
      </c>
      <c r="C38" s="165" t="s">
        <v>49</v>
      </c>
      <c r="D38" s="166"/>
      <c r="E38" s="167"/>
      <c r="F38" s="37">
        <v>3921</v>
      </c>
    </row>
    <row r="39" spans="1:6" ht="34.5" customHeight="1">
      <c r="A39" s="29">
        <v>3</v>
      </c>
      <c r="B39" s="36">
        <v>42081</v>
      </c>
      <c r="C39" s="165" t="s">
        <v>49</v>
      </c>
      <c r="D39" s="166"/>
      <c r="E39" s="167"/>
      <c r="F39" s="37">
        <v>2600</v>
      </c>
    </row>
    <row r="40" spans="1:6" ht="30" customHeight="1">
      <c r="A40" s="29">
        <v>4</v>
      </c>
      <c r="B40" s="36">
        <v>42088</v>
      </c>
      <c r="C40" s="196" t="s">
        <v>42</v>
      </c>
      <c r="D40" s="197"/>
      <c r="E40" s="198"/>
      <c r="F40" s="37">
        <f>716+358</f>
        <v>1074</v>
      </c>
    </row>
    <row r="41" spans="1:6" ht="30" customHeight="1">
      <c r="A41" s="29">
        <v>5</v>
      </c>
      <c r="B41" s="36">
        <v>42119</v>
      </c>
      <c r="C41" s="196" t="s">
        <v>42</v>
      </c>
      <c r="D41" s="197"/>
      <c r="E41" s="198"/>
      <c r="F41" s="37">
        <f>716+358</f>
        <v>1074</v>
      </c>
    </row>
    <row r="42" spans="1:6" ht="28.5" customHeight="1">
      <c r="A42" s="29">
        <v>6</v>
      </c>
      <c r="B42" s="36">
        <v>42124</v>
      </c>
      <c r="C42" s="165" t="s">
        <v>47</v>
      </c>
      <c r="D42" s="166"/>
      <c r="E42" s="167"/>
      <c r="F42" s="37">
        <v>654</v>
      </c>
    </row>
    <row r="43" spans="1:6" ht="15.75">
      <c r="A43" s="29">
        <v>7</v>
      </c>
      <c r="B43" s="36">
        <v>42130</v>
      </c>
      <c r="C43" s="165" t="s">
        <v>50</v>
      </c>
      <c r="D43" s="166"/>
      <c r="E43" s="167"/>
      <c r="F43" s="37">
        <v>492</v>
      </c>
    </row>
    <row r="44" spans="1:6" ht="34.5" customHeight="1">
      <c r="A44" s="29">
        <v>8</v>
      </c>
      <c r="B44" s="36">
        <v>42143</v>
      </c>
      <c r="C44" s="165" t="s">
        <v>47</v>
      </c>
      <c r="D44" s="166"/>
      <c r="E44" s="167"/>
      <c r="F44" s="37">
        <v>654</v>
      </c>
    </row>
    <row r="45" spans="1:6" ht="30" customHeight="1">
      <c r="A45" s="29">
        <v>9</v>
      </c>
      <c r="B45" s="36">
        <v>42149</v>
      </c>
      <c r="C45" s="196" t="s">
        <v>42</v>
      </c>
      <c r="D45" s="197"/>
      <c r="E45" s="198"/>
      <c r="F45" s="37">
        <f>716+358</f>
        <v>1074</v>
      </c>
    </row>
    <row r="46" spans="1:6" ht="30" customHeight="1">
      <c r="A46" s="29">
        <v>10</v>
      </c>
      <c r="B46" s="36">
        <v>42180</v>
      </c>
      <c r="C46" s="196" t="s">
        <v>42</v>
      </c>
      <c r="D46" s="197"/>
      <c r="E46" s="198"/>
      <c r="F46" s="37">
        <f>716+358</f>
        <v>1074</v>
      </c>
    </row>
    <row r="47" spans="1:6" ht="27" customHeight="1">
      <c r="A47" s="29">
        <v>11</v>
      </c>
      <c r="B47" s="36">
        <v>42210</v>
      </c>
      <c r="C47" s="196" t="s">
        <v>42</v>
      </c>
      <c r="D47" s="197"/>
      <c r="E47" s="198"/>
      <c r="F47" s="37">
        <f>716+358</f>
        <v>1074</v>
      </c>
    </row>
    <row r="48" spans="1:6" ht="27" customHeight="1">
      <c r="A48" s="29">
        <v>12</v>
      </c>
      <c r="B48" s="36">
        <v>42241</v>
      </c>
      <c r="C48" s="196" t="s">
        <v>42</v>
      </c>
      <c r="D48" s="197"/>
      <c r="E48" s="198"/>
      <c r="F48" s="37">
        <f>716+358</f>
        <v>1074</v>
      </c>
    </row>
    <row r="49" spans="1:6" ht="27" customHeight="1">
      <c r="A49" s="29">
        <v>13</v>
      </c>
      <c r="B49" s="36">
        <v>42272</v>
      </c>
      <c r="C49" s="196" t="s">
        <v>42</v>
      </c>
      <c r="D49" s="197"/>
      <c r="E49" s="198"/>
      <c r="F49" s="37">
        <f>716+358</f>
        <v>1074</v>
      </c>
    </row>
    <row r="50" spans="1:6" ht="28.5" customHeight="1">
      <c r="A50" s="29">
        <v>14</v>
      </c>
      <c r="B50" s="36">
        <v>42289</v>
      </c>
      <c r="C50" s="165" t="s">
        <v>56</v>
      </c>
      <c r="D50" s="166"/>
      <c r="E50" s="167"/>
      <c r="F50" s="37">
        <v>654</v>
      </c>
    </row>
    <row r="51" spans="1:6" ht="27" customHeight="1">
      <c r="A51" s="29">
        <v>15</v>
      </c>
      <c r="B51" s="36">
        <v>42302</v>
      </c>
      <c r="C51" s="196" t="s">
        <v>42</v>
      </c>
      <c r="D51" s="197"/>
      <c r="E51" s="198"/>
      <c r="F51" s="37">
        <f>716+358</f>
        <v>1074</v>
      </c>
    </row>
    <row r="52" spans="1:6" s="27" customFormat="1" ht="15.75">
      <c r="A52" s="134" t="s">
        <v>43</v>
      </c>
      <c r="B52" s="134"/>
      <c r="C52" s="134"/>
      <c r="D52" s="134"/>
      <c r="E52" s="134"/>
      <c r="F52" s="35">
        <f>SUM(F37:F51)</f>
        <v>18221</v>
      </c>
    </row>
  </sheetData>
  <sheetProtection selectLockedCells="1" selectUnlockedCells="1"/>
  <mergeCells count="36">
    <mergeCell ref="C51:E51"/>
    <mergeCell ref="A52:E5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A31:E31"/>
    <mergeCell ref="A32:E32"/>
    <mergeCell ref="A33:E33"/>
    <mergeCell ref="C36:E36"/>
    <mergeCell ref="C37:E37"/>
    <mergeCell ref="C38:E38"/>
    <mergeCell ref="B23:E23"/>
    <mergeCell ref="B24:E24"/>
    <mergeCell ref="B25:E25"/>
    <mergeCell ref="B26:E26"/>
    <mergeCell ref="B28:E28"/>
    <mergeCell ref="B29:E29"/>
    <mergeCell ref="B27:E27"/>
    <mergeCell ref="B22:E22"/>
    <mergeCell ref="G21:H21"/>
    <mergeCell ref="A1:F1"/>
    <mergeCell ref="A2:F2"/>
    <mergeCell ref="A16:F16"/>
    <mergeCell ref="B18:E18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2017-04-17T15:30:02Z</cp:lastPrinted>
  <dcterms:created xsi:type="dcterms:W3CDTF">2015-10-12T14:43:42Z</dcterms:created>
  <dcterms:modified xsi:type="dcterms:W3CDTF">2018-03-14T09:30:17Z</dcterms:modified>
  <cp:category/>
  <cp:version/>
  <cp:contentType/>
  <cp:contentStatus/>
</cp:coreProperties>
</file>