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(с марта)" sheetId="3" r:id="rId3"/>
    <sheet name="2015" sheetId="4" r:id="rId4"/>
    <sheet name="2015 (6 мес)" sheetId="5" r:id="rId5"/>
  </sheets>
  <definedNames>
    <definedName name="_xlnm.Print_Area" localSheetId="3">'2015'!$A$1:$F$87</definedName>
    <definedName name="_xlnm.Print_Area" localSheetId="4">'2015 (6 мес)'!$A$1:$F$66</definedName>
    <definedName name="_xlnm.Print_Area" localSheetId="2">'2015 (с марта)'!$A$1:$F$45</definedName>
    <definedName name="_xlnm.Print_Area" localSheetId="1">'2016'!$A$1:$F$107</definedName>
  </definedNames>
  <calcPr fullCalcOnLoad="1" refMode="R1C1"/>
</workbook>
</file>

<file path=xl/sharedStrings.xml><?xml version="1.0" encoding="utf-8"?>
<sst xmlns="http://schemas.openxmlformats.org/spreadsheetml/2006/main" count="599" uniqueCount="210">
  <si>
    <t>Начислено</t>
  </si>
  <si>
    <t>Итого</t>
  </si>
  <si>
    <t>Вид</t>
  </si>
  <si>
    <t>Сумма, рублей</t>
  </si>
  <si>
    <t>Услуги управления</t>
  </si>
  <si>
    <t>Обслуживание ВДГО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</si>
  <si>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</si>
  <si>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</si>
  <si>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</si>
  <si>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</si>
  <si>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</si>
  <si>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Сантехнические работы</t>
  </si>
  <si>
    <t>Электромонтажные работы</t>
  </si>
  <si>
    <t>Общестроительные работы</t>
  </si>
  <si>
    <t>Оплачено</t>
  </si>
  <si>
    <t>руб.</t>
  </si>
  <si>
    <r>
      <t xml:space="preserve">№ </t>
    </r>
    <r>
      <rPr>
        <b/>
        <sz val="10"/>
        <rFont val="Arial"/>
        <family val="2"/>
      </rPr>
      <t>п/п</t>
    </r>
  </si>
  <si>
    <t>Вид работ</t>
  </si>
  <si>
    <t>Ст-ть работ</t>
  </si>
  <si>
    <t>№</t>
  </si>
  <si>
    <t>Расходы по обслуживанию МКД</t>
  </si>
  <si>
    <t>ИТОГО:</t>
  </si>
  <si>
    <t xml:space="preserve">Общая плошадь квартир </t>
  </si>
  <si>
    <t>кв.м.</t>
  </si>
  <si>
    <t>Содержание жилья</t>
  </si>
  <si>
    <t>Вывоз ТБО</t>
  </si>
  <si>
    <t>Уборка подъездов</t>
  </si>
  <si>
    <t>Электроэнергия МОП</t>
  </si>
  <si>
    <t>Ремонт подъезда</t>
  </si>
  <si>
    <t>Содержание лифтов</t>
  </si>
  <si>
    <t>площадь</t>
  </si>
  <si>
    <t>ул. Куйбышева. д. 53</t>
  </si>
  <si>
    <t>з/п</t>
  </si>
  <si>
    <t>дворника</t>
  </si>
  <si>
    <t>уборщицы</t>
  </si>
  <si>
    <t>Санитарное содержание прилегающей территории</t>
  </si>
  <si>
    <t>Санитарное содержание подъездов</t>
  </si>
  <si>
    <t>Услуга</t>
  </si>
  <si>
    <t>ремонт электрощитков</t>
  </si>
  <si>
    <t>осмотр э/сетей, замена ламп, установка датчиков движения</t>
  </si>
  <si>
    <t>замена ламп</t>
  </si>
  <si>
    <t>ремонт металлических лестничных решеток</t>
  </si>
  <si>
    <t>благоустройство придомовой территории (окраска элементов благоустройства)</t>
  </si>
  <si>
    <t>осмотр систем водоснабжения, водоотведения, прочистка фильтров</t>
  </si>
  <si>
    <t>осмотр систем водоснабжения, водоотведения, отопления, ремонтные работы</t>
  </si>
  <si>
    <t>осмотр э/сетей по заявке, замена ламп</t>
  </si>
  <si>
    <t>осмотр систем водоснабжения, водоотведения, отопления по заявке</t>
  </si>
  <si>
    <t>осмотр подвальных и чердачных помещений по заявке</t>
  </si>
  <si>
    <t>осмотр э/сетей по заявке, смена ламп</t>
  </si>
  <si>
    <t>частичный ремонт фасада</t>
  </si>
  <si>
    <t>осмотр э/сетей по заявке</t>
  </si>
  <si>
    <t>Персонифицированный учет МКД  (за январь - август 2015 г, 8 мес.)</t>
  </si>
  <si>
    <t>электромонтажные работы, установка датчиков движения, смена ламп</t>
  </si>
  <si>
    <t>Косметический ремонт подъездов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</si>
  <si>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</si>
  <si>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</si>
  <si>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</si>
  <si>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</si>
  <si>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Задолженность населения на 31.08.2015 г., в т.ч.</t>
  </si>
  <si>
    <t>Сальдо на 31.08.2015г (по начислениям) (прибыль)</t>
  </si>
  <si>
    <t>Задолженность на 01.01.2015</t>
  </si>
  <si>
    <t>Задолженность на 31.08.2015г</t>
  </si>
  <si>
    <t>снятие показаний общедомового прибора учета э/э</t>
  </si>
  <si>
    <t>Персонифицированный учет МКД  за  2015 г.</t>
  </si>
  <si>
    <t>Задолженность на 31.12.2015г</t>
  </si>
  <si>
    <t>Задолженность населения на 31.12.2015 г., в т.ч.</t>
  </si>
  <si>
    <t>тариф</t>
  </si>
  <si>
    <t>упр-е</t>
  </si>
  <si>
    <t>двор</t>
  </si>
  <si>
    <t>лк</t>
  </si>
  <si>
    <t>Осмотр систем водоснабжения, водоотведения, ремонтные работы</t>
  </si>
  <si>
    <t>Осмотр систем водоснабжения, водоотведения на предмет утечек</t>
  </si>
  <si>
    <t>ремонт щитков</t>
  </si>
  <si>
    <t>электромонтажные работы</t>
  </si>
  <si>
    <t>частичный ремонт кровли</t>
  </si>
  <si>
    <t>+окос</t>
  </si>
  <si>
    <t>осмотр систем водоснабжения, водоотведения, отопления на предмет утечек</t>
  </si>
  <si>
    <t>осмотр систем водоснабжения, водоотведения на предмет утечек</t>
  </si>
  <si>
    <t>12-13.10.2015</t>
  </si>
  <si>
    <t>осмотр э/сетей, смена ламп в МОП, ремонтные работы</t>
  </si>
  <si>
    <t>ТБО УКЛР</t>
  </si>
  <si>
    <t xml:space="preserve">осмотр э/сетей, смена ламп </t>
  </si>
  <si>
    <t>Справочно: финансовый результат с учетом задолженности</t>
  </si>
  <si>
    <t>Сальдо на 01.01.2016 г. (по начислению)</t>
  </si>
  <si>
    <r>
      <t xml:space="preserve">№ </t>
    </r>
    <r>
      <rPr>
        <b/>
        <sz val="12"/>
        <rFont val="Times New Roman"/>
        <family val="1"/>
      </rPr>
      <t>п/п</t>
    </r>
  </si>
  <si>
    <t>ежемесячно</t>
  </si>
  <si>
    <t>снятие показаний приборов учета электроэнергии</t>
  </si>
  <si>
    <t>Задолженность населения на 31.12.2015 г.</t>
  </si>
  <si>
    <t>Задолжен-ность на 01.03.2015</t>
  </si>
  <si>
    <t>Задолженность на 31.12.2015</t>
  </si>
  <si>
    <t xml:space="preserve">Остаток на 01.03.2015 г. </t>
  </si>
  <si>
    <t>Задолженность на 01.03.2015 г.</t>
  </si>
  <si>
    <t>В управлении ООО "УК Самбия" - с 01.03.2015 года</t>
  </si>
  <si>
    <t>Электро-энергия МОП</t>
  </si>
  <si>
    <t>осмотр систем водоснабжения, водоотведения, ремонтные работы</t>
  </si>
  <si>
    <t>Снятие показаний приборов учета электроэнергии</t>
  </si>
  <si>
    <t>ремонт подъезда!!!</t>
  </si>
  <si>
    <t>осмотр системы отопления, проверка отопительных приборов на прогрев</t>
  </si>
  <si>
    <t>осмотр системы отопления, проверка отопительных приборов на прогрев, ремонтные работы</t>
  </si>
  <si>
    <t>Сальдо на 31.12.2015 г. (по начислению)</t>
  </si>
  <si>
    <t>осмотр э/сетей, ремонтные работы</t>
  </si>
  <si>
    <t>В том числе аренда за 2012-2013г</t>
  </si>
  <si>
    <t>Материалы</t>
  </si>
  <si>
    <t>Александр</t>
  </si>
  <si>
    <t>300 в мес. Вымпелком</t>
  </si>
  <si>
    <t xml:space="preserve"> </t>
  </si>
  <si>
    <t>Начисления по МКД от сторонних контрагентов</t>
  </si>
  <si>
    <t>Сумма</t>
  </si>
  <si>
    <t>Организация</t>
  </si>
  <si>
    <t>Статья</t>
  </si>
  <si>
    <t>Вымпелком</t>
  </si>
  <si>
    <t>Размещение оборудования</t>
  </si>
  <si>
    <t>300/м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</si>
  <si>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</si>
  <si>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</si>
  <si>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</si>
  <si>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Задолжен-ность на 01.01.2016</t>
  </si>
  <si>
    <t>Задолженность на 31.12.2016</t>
  </si>
  <si>
    <t>Сальдо на 31.12.2016 г. (по начислению)</t>
  </si>
  <si>
    <t>Задолженность населения на 31.12.2016 г.</t>
  </si>
  <si>
    <t>Осмотр чердачных и подвальных помещений, сис. водоснабжения</t>
  </si>
  <si>
    <t>Осмотр электрических сетей, смена ламп</t>
  </si>
  <si>
    <t>Осмотр электрических сетей, смена светильников</t>
  </si>
  <si>
    <t>Пломбировка счетчика</t>
  </si>
  <si>
    <t>Осмотр чердачных и подвальных помещений, пломбировка счетчика</t>
  </si>
  <si>
    <t>Осмотр чердачных и подвальных помещений, проверка на прогрев</t>
  </si>
  <si>
    <t>Осмотр электрических сетей, демонтаж датчика движения</t>
  </si>
  <si>
    <t>Смена дверных приборов</t>
  </si>
  <si>
    <t>Ремонт групповых щитков</t>
  </si>
  <si>
    <t>Смена ламп накаливания</t>
  </si>
  <si>
    <t>Осмотр электрических сетей</t>
  </si>
  <si>
    <t>Песок 1го класса + доставка</t>
  </si>
  <si>
    <t>Очистка кровли от мусора</t>
  </si>
  <si>
    <t>Ремонт светильников</t>
  </si>
  <si>
    <t>Осмотр электрических сетей, смена выключателей</t>
  </si>
  <si>
    <t>Аварийка</t>
  </si>
  <si>
    <t>Осмотр электрических сетей, ремонт светильников</t>
  </si>
  <si>
    <t>Периодическое тех. освидетельствование лифтов</t>
  </si>
  <si>
    <t>Очистка подвала</t>
  </si>
  <si>
    <t>Осмотр чердачных и подвальных помещений</t>
  </si>
  <si>
    <t xml:space="preserve">Ремонт и восстановление панелей с применением автогидроподъемника </t>
  </si>
  <si>
    <t>Ремонт силового предохранительного шкафа</t>
  </si>
  <si>
    <t>Дезинсекция</t>
  </si>
  <si>
    <t xml:space="preserve">Смена вентилей и клапанов обратных муфтовых </t>
  </si>
  <si>
    <t>Слив и наполнение водой системы отопления с осмотром системы</t>
  </si>
  <si>
    <t>Проверка на прогрев отопительных приборов с регулировкой</t>
  </si>
  <si>
    <t>Трубо-печные работы</t>
  </si>
  <si>
    <t>Осмотр электрических сетей, смена патронов</t>
  </si>
  <si>
    <t>Разгрузо-погрузочные работы</t>
  </si>
  <si>
    <t xml:space="preserve">Обследование электрических сетей </t>
  </si>
  <si>
    <t>Обследование электрических сетей</t>
  </si>
  <si>
    <t>Сварочные работы</t>
  </si>
  <si>
    <t xml:space="preserve">Разводка по устройствам и подключение жил кабелей </t>
  </si>
  <si>
    <t>Содержание лифтов + ежегодное освидетельствование</t>
  </si>
  <si>
    <t>аварийная служба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</si>
  <si>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</si>
  <si>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</si>
  <si>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</si>
  <si>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Задолжен-ность на 01.01.2017</t>
  </si>
  <si>
    <t>Задолженность на 31.12.2017</t>
  </si>
  <si>
    <t>Сальдо на 31.12.2017 г. (по начислению)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</si>
  <si>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</si>
  <si>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</si>
  <si>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</si>
  <si>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</si>
  <si>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Гор.вода (центр) на соид</t>
  </si>
  <si>
    <t xml:space="preserve">Обследование электрических сетей.Смена ламп накаливания. </t>
  </si>
  <si>
    <t>Обследование электрических сетей. Ремонт выключателей</t>
  </si>
  <si>
    <t>Обследование электрических сетей.Смена ламп накаливания. Ремонт патронов</t>
  </si>
  <si>
    <t>Обследование электрических сетей. Отключение, разводка по устройствам и подключение жил кабелей</t>
  </si>
  <si>
    <t>Обследование электрических сетей.</t>
  </si>
  <si>
    <t>Ремонт групповых щитков, силового предохранительного шкафа</t>
  </si>
  <si>
    <t>Обследование электрических сетей. Смена датчика движения</t>
  </si>
  <si>
    <t>Обследование электрических сетей.Смена ламп накаливания. Ремонт выключателей</t>
  </si>
  <si>
    <t>Обследование электрических сетей.Смена ламп накаливания. Ремонт светильников, выключателей</t>
  </si>
  <si>
    <t xml:space="preserve">Обследование электрических сетей.Смена патронов. </t>
  </si>
  <si>
    <t>Снятие показаний с приборов учета электроэнергии</t>
  </si>
  <si>
    <t>Обследование электрических сетей.Смена ламп накаливания. Ремонт светильников</t>
  </si>
  <si>
    <t>Обследование чердачных, подвальных и лест. клеток  на предмет утечки трубопроводов.Разборка, прокладка трубопроводов</t>
  </si>
  <si>
    <t>Пломбировка счетчика. Смена вентилей, клапанов</t>
  </si>
  <si>
    <t>Обследование чердачных, подвальных и лест. клеток  на предмет утечки трубопроводов. Слив воды из системы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</si>
  <si>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</si>
  <si>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>Обследование чердачных, подвальных и лест. клеток  на предмет утечки трубопроводов. Слив воды из системы. Установка вентилей, задвижек, затворов, клапанов</t>
  </si>
  <si>
    <t>Обследование чердачных, подвальных и лест. клеток  на предмет утечки трубопроводов</t>
  </si>
  <si>
    <t>Обследование чердачных, подвальных и лест. клеток  на предмет утечки трубопроводов. Заглушка</t>
  </si>
  <si>
    <t>Обследование чердачных, подвальных и лест. клеток  на предмет утечки трубопроводов. Смена вентилей и клапанов, сгонов. Ремонт задвижек</t>
  </si>
  <si>
    <t>Разборка, прокладка трубопроводов</t>
  </si>
  <si>
    <t>Обследование чердачных, подвальных и лест. клеток  на предмет утечки трубопроводов. Смена вентилей, клапанов, сгонов</t>
  </si>
  <si>
    <t>Смена вентилей, клапанов, сгонов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</si>
  <si>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</si>
  <si>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Смена вентилей, клапанов</t>
  </si>
  <si>
    <t>Демонтаж/монтаж обделок из листовой стали (парапетов без обделки боковых стенок). Очистка водосточной сети. Очистка кровельных покрытий от снега и наледи.</t>
  </si>
  <si>
    <t>Очистка козырьков от мусора. Устройство гидроизоляции, кровель</t>
  </si>
  <si>
    <t>Ремонт входной двери</t>
  </si>
  <si>
    <t>Покос</t>
  </si>
  <si>
    <t>Страхование лифта</t>
  </si>
  <si>
    <t>Периодическое техническое освидетельствование лифтов</t>
  </si>
  <si>
    <t>Техническое обслуживание лифта</t>
  </si>
  <si>
    <t>Аварийные работы. Течь радиатора</t>
  </si>
  <si>
    <t>Аварийные работы. Залитие</t>
  </si>
  <si>
    <t>Аварийные работы. Засор канализации</t>
  </si>
  <si>
    <t>Аварийные работы. Утечка ЦО</t>
  </si>
  <si>
    <t>Ремонт урн сваркой</t>
  </si>
  <si>
    <t xml:space="preserve">Повторный пуск газа  </t>
  </si>
  <si>
    <t>Регулировка дверного доводчика</t>
  </si>
  <si>
    <t>Ремонт домофона</t>
  </si>
  <si>
    <t>ежемесячно с 01.01.2017 по 31.07.2017</t>
  </si>
  <si>
    <t>покос входит</t>
  </si>
  <si>
    <t>кгм нет</t>
  </si>
  <si>
    <t>Тис Диалог возврат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</si>
</sst>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00"/>
    <numFmt numFmtId="167" formatCode="0.0000"/>
    <numFmt numFmtId="168" formatCode="[$-FC19]d\ mmmm\ yyyy\ &quot;г.&quot;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4" fontId="3" fillId="37" borderId="12" xfId="0" applyNumberFormat="1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4" fontId="3" fillId="36" borderId="12" xfId="0" applyNumberFormat="1" applyFont="1" applyFill="1" applyBorder="1" applyAlignment="1">
      <alignment horizontal="center" vertical="center"/>
    </xf>
    <xf numFmtId="4" fontId="3" fillId="36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/>
    </xf>
    <xf numFmtId="4" fontId="3" fillId="39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>
      <alignment horizontal="center" vertical="center"/>
    </xf>
    <xf numFmtId="4" fontId="3" fillId="40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4" fontId="3" fillId="5" borderId="12" xfId="0" applyNumberFormat="1" applyFont="1" applyFill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3" fillId="41" borderId="12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/>
    </xf>
    <xf numFmtId="4" fontId="3" fillId="42" borderId="12" xfId="0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14" fontId="3" fillId="9" borderId="12" xfId="0" applyNumberFormat="1" applyFont="1" applyFill="1" applyBorder="1" applyAlignment="1">
      <alignment horizontal="center" vertical="center"/>
    </xf>
    <xf numFmtId="4" fontId="3" fillId="4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14" fontId="3" fillId="12" borderId="12" xfId="0" applyNumberFormat="1" applyFont="1" applyFill="1" applyBorder="1" applyAlignment="1">
      <alignment horizontal="center" vertical="center"/>
    </xf>
    <xf numFmtId="4" fontId="3" fillId="44" borderId="12" xfId="0" applyNumberFormat="1" applyFont="1" applyFill="1" applyBorder="1" applyAlignment="1">
      <alignment horizontal="center" vertical="center"/>
    </xf>
    <xf numFmtId="0" fontId="0" fillId="12" borderId="0" xfId="0" applyFont="1" applyFill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3" fillId="45" borderId="12" xfId="0" applyFont="1" applyFill="1" applyBorder="1" applyAlignment="1">
      <alignment horizontal="center" vertical="center"/>
    </xf>
    <xf numFmtId="14" fontId="3" fillId="45" borderId="12" xfId="0" applyNumberFormat="1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2" fillId="45" borderId="0" xfId="0" applyFont="1" applyFill="1" applyAlignment="1">
      <alignment vertical="center"/>
    </xf>
    <xf numFmtId="4" fontId="3" fillId="46" borderId="12" xfId="0" applyNumberFormat="1" applyFont="1" applyFill="1" applyBorder="1" applyAlignment="1">
      <alignment horizontal="center" vertical="center"/>
    </xf>
    <xf numFmtId="0" fontId="0" fillId="4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45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34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" fontId="3" fillId="47" borderId="12" xfId="0" applyNumberFormat="1" applyFont="1" applyFill="1" applyBorder="1" applyAlignment="1">
      <alignment horizontal="center" vertical="center"/>
    </xf>
    <xf numFmtId="4" fontId="3" fillId="48" borderId="12" xfId="0" applyNumberFormat="1" applyFont="1" applyFill="1" applyBorder="1" applyAlignment="1">
      <alignment horizontal="center" vertical="center"/>
    </xf>
    <xf numFmtId="4" fontId="3" fillId="49" borderId="12" xfId="0" applyNumberFormat="1" applyFont="1" applyFill="1" applyBorder="1" applyAlignment="1">
      <alignment horizontal="center" vertical="center"/>
    </xf>
    <xf numFmtId="4" fontId="3" fillId="50" borderId="12" xfId="0" applyNumberFormat="1" applyFont="1" applyFill="1" applyBorder="1" applyAlignment="1">
      <alignment horizontal="center" vertical="center"/>
    </xf>
    <xf numFmtId="2" fontId="3" fillId="50" borderId="12" xfId="0" applyNumberFormat="1" applyFont="1" applyFill="1" applyBorder="1" applyAlignment="1">
      <alignment horizontal="center" vertical="center"/>
    </xf>
    <xf numFmtId="4" fontId="3" fillId="51" borderId="12" xfId="0" applyNumberFormat="1" applyFont="1" applyFill="1" applyBorder="1" applyAlignment="1">
      <alignment horizontal="center" vertical="center"/>
    </xf>
    <xf numFmtId="2" fontId="3" fillId="47" borderId="12" xfId="0" applyNumberFormat="1" applyFont="1" applyFill="1" applyBorder="1" applyAlignment="1">
      <alignment horizontal="center" vertical="center"/>
    </xf>
    <xf numFmtId="4" fontId="3" fillId="52" borderId="12" xfId="0" applyNumberFormat="1" applyFont="1" applyFill="1" applyBorder="1" applyAlignment="1">
      <alignment horizontal="center" vertical="center"/>
    </xf>
    <xf numFmtId="4" fontId="3" fillId="53" borderId="12" xfId="0" applyNumberFormat="1" applyFont="1" applyFill="1" applyBorder="1" applyAlignment="1">
      <alignment horizontal="center" vertical="center"/>
    </xf>
    <xf numFmtId="2" fontId="3" fillId="5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4" fontId="46" fillId="33" borderId="12" xfId="0" applyNumberFormat="1" applyFont="1" applyFill="1" applyBorder="1" applyAlignment="1">
      <alignment horizontal="center" vertical="center"/>
    </xf>
    <xf numFmtId="0" fontId="46" fillId="47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50" borderId="12" xfId="0" applyFont="1" applyFill="1" applyBorder="1" applyAlignment="1">
      <alignment horizontal="center" vertical="center"/>
    </xf>
    <xf numFmtId="0" fontId="46" fillId="54" borderId="1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6" fillId="48" borderId="12" xfId="0" applyFont="1" applyFill="1" applyBorder="1" applyAlignment="1">
      <alignment horizontal="center" vertical="center"/>
    </xf>
    <xf numFmtId="14" fontId="3" fillId="37" borderId="12" xfId="0" applyNumberFormat="1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2" fontId="47" fillId="0" borderId="0" xfId="0" applyNumberFormat="1" applyFont="1" applyAlignment="1">
      <alignment horizontal="center"/>
    </xf>
    <xf numFmtId="4" fontId="2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left" vertical="center" wrapText="1"/>
    </xf>
    <xf numFmtId="0" fontId="3" fillId="37" borderId="26" xfId="0" applyFont="1" applyFill="1" applyBorder="1" applyAlignment="1">
      <alignment horizontal="left" vertical="center" wrapText="1"/>
    </xf>
    <xf numFmtId="0" fontId="3" fillId="37" borderId="27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0" fontId="46" fillId="33" borderId="2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" fillId="37" borderId="25" xfId="0" applyFont="1" applyFill="1" applyBorder="1" applyAlignment="1">
      <alignment vertical="center" wrapText="1"/>
    </xf>
    <xf numFmtId="0" fontId="3" fillId="37" borderId="26" xfId="0" applyFont="1" applyFill="1" applyBorder="1" applyAlignment="1">
      <alignment vertical="center" wrapText="1"/>
    </xf>
    <xf numFmtId="0" fontId="3" fillId="37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45" borderId="25" xfId="0" applyFont="1" applyFill="1" applyBorder="1" applyAlignment="1">
      <alignment horizontal="left" vertical="center" wrapText="1"/>
    </xf>
    <xf numFmtId="0" fontId="3" fillId="45" borderId="26" xfId="0" applyFont="1" applyFill="1" applyBorder="1" applyAlignment="1">
      <alignment horizontal="left" vertical="center" wrapText="1"/>
    </xf>
    <xf numFmtId="0" fontId="3" fillId="45" borderId="27" xfId="0" applyFont="1" applyFill="1" applyBorder="1" applyAlignment="1">
      <alignment horizontal="left" vertical="center" wrapText="1"/>
    </xf>
    <xf numFmtId="0" fontId="3" fillId="43" borderId="25" xfId="0" applyFont="1" applyFill="1" applyBorder="1" applyAlignment="1">
      <alignment horizontal="left" vertical="center" wrapText="1"/>
    </xf>
    <xf numFmtId="0" fontId="3" fillId="43" borderId="26" xfId="0" applyFont="1" applyFill="1" applyBorder="1" applyAlignment="1">
      <alignment horizontal="left" vertical="center" wrapText="1"/>
    </xf>
    <xf numFmtId="0" fontId="3" fillId="43" borderId="27" xfId="0" applyFont="1" applyFill="1" applyBorder="1" applyAlignment="1">
      <alignment horizontal="left" vertical="center" wrapText="1"/>
    </xf>
    <xf numFmtId="0" fontId="3" fillId="44" borderId="25" xfId="0" applyFont="1" applyFill="1" applyBorder="1" applyAlignment="1">
      <alignment horizontal="left" vertical="center" wrapText="1"/>
    </xf>
    <xf numFmtId="0" fontId="3" fillId="44" borderId="26" xfId="0" applyFont="1" applyFill="1" applyBorder="1" applyAlignment="1">
      <alignment horizontal="left" vertical="center" wrapText="1"/>
    </xf>
    <xf numFmtId="0" fontId="3" fillId="44" borderId="27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42" borderId="25" xfId="0" applyFont="1" applyFill="1" applyBorder="1" applyAlignment="1">
      <alignment horizontal="left" vertical="center" wrapText="1"/>
    </xf>
    <xf numFmtId="0" fontId="3" fillId="42" borderId="26" xfId="0" applyFont="1" applyFill="1" applyBorder="1" applyAlignment="1">
      <alignment horizontal="left" vertical="center" wrapText="1"/>
    </xf>
    <xf numFmtId="0" fontId="3" fillId="42" borderId="2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" fillId="55" borderId="25" xfId="0" applyFont="1" applyFill="1" applyBorder="1" applyAlignment="1">
      <alignment horizontal="left" vertical="center" wrapText="1"/>
    </xf>
    <xf numFmtId="0" fontId="3" fillId="55" borderId="26" xfId="0" applyFont="1" applyFill="1" applyBorder="1" applyAlignment="1">
      <alignment horizontal="left" vertical="center" wrapText="1"/>
    </xf>
    <xf numFmtId="0" fontId="3" fillId="55" borderId="2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38" borderId="25" xfId="0" applyFont="1" applyFill="1" applyBorder="1" applyAlignment="1">
      <alignment horizontal="left" vertical="center" wrapText="1"/>
    </xf>
    <xf numFmtId="0" fontId="3" fillId="38" borderId="26" xfId="0" applyFont="1" applyFill="1" applyBorder="1" applyAlignment="1">
      <alignment horizontal="left" vertical="center" wrapText="1"/>
    </xf>
    <xf numFmtId="0" fontId="3" fillId="38" borderId="27" xfId="0" applyFont="1" applyFill="1" applyBorder="1" applyAlignment="1">
      <alignment horizontal="left" vertical="center" wrapText="1"/>
    </xf>
    <xf numFmtId="0" fontId="3" fillId="39" borderId="25" xfId="0" applyFont="1" applyFill="1" applyBorder="1" applyAlignment="1">
      <alignment horizontal="left" vertical="center" wrapText="1"/>
    </xf>
    <xf numFmtId="0" fontId="3" fillId="39" borderId="26" xfId="0" applyFont="1" applyFill="1" applyBorder="1" applyAlignment="1">
      <alignment horizontal="left" vertical="center" wrapText="1"/>
    </xf>
    <xf numFmtId="0" fontId="3" fillId="39" borderId="27" xfId="0" applyFont="1" applyFill="1" applyBorder="1" applyAlignment="1">
      <alignment horizontal="left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40" borderId="26" xfId="0" applyFont="1" applyFill="1" applyBorder="1" applyAlignment="1">
      <alignment horizontal="left" vertical="center" wrapText="1"/>
    </xf>
    <xf numFmtId="0" fontId="3" fillId="40" borderId="27" xfId="0" applyFont="1" applyFill="1" applyBorder="1" applyAlignment="1">
      <alignment horizontal="left" vertical="center" wrapText="1"/>
    </xf>
    <xf numFmtId="0" fontId="3" fillId="46" borderId="25" xfId="0" applyFont="1" applyFill="1" applyBorder="1" applyAlignment="1">
      <alignment horizontal="left" vertical="center" wrapText="1"/>
    </xf>
    <xf numFmtId="0" fontId="3" fillId="46" borderId="26" xfId="0" applyFont="1" applyFill="1" applyBorder="1" applyAlignment="1">
      <alignment horizontal="left" vertical="center" wrapText="1"/>
    </xf>
    <xf numFmtId="0" fontId="3" fillId="46" borderId="27" xfId="0" applyFont="1" applyFill="1" applyBorder="1" applyAlignment="1">
      <alignment horizontal="left" vertical="center" wrapText="1"/>
    </xf>
    <xf numFmtId="0" fontId="3" fillId="41" borderId="25" xfId="0" applyFont="1" applyFill="1" applyBorder="1" applyAlignment="1">
      <alignment horizontal="left" vertical="center" wrapText="1"/>
    </xf>
    <xf numFmtId="0" fontId="3" fillId="41" borderId="26" xfId="0" applyFont="1" applyFill="1" applyBorder="1" applyAlignment="1">
      <alignment horizontal="left" vertical="center" wrapText="1"/>
    </xf>
    <xf numFmtId="0" fontId="3" fillId="41" borderId="2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0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50">
      <selection activeCell="F50" sqref="F50"/>
    </sheetView>
  </sheetViews>
  <sheetFormatPr defaultColWidth="9.140625" defaultRowHeight="12.75" outlineLevelRow="1"/>
  <cols>
    <col min="1" max="1" width="4.421875" style="106" customWidth="1"/>
    <col min="2" max="2" width="15.140625" style="103" customWidth="1"/>
    <col min="3" max="3" width="19.8515625" style="103" customWidth="1"/>
    <col min="4" max="4" width="13.57421875" style="103" customWidth="1"/>
    <col min="5" max="5" width="14.00390625" style="103" customWidth="1"/>
    <col min="6" max="6" width="18.140625" style="103" customWidth="1"/>
    <col min="7" max="7" width="11.7109375" style="103" customWidth="1"/>
    <col min="8" max="8" width="11.28125" style="106" customWidth="1"/>
    <col min="9" max="9" width="12.28125" style="106" customWidth="1"/>
    <col min="10" max="10" width="11.00390625" style="103" customWidth="1"/>
    <col min="11" max="16384" width="9.140625" style="103" customWidth="1"/>
  </cols>
  <sheetData>
    <row r="1" spans="1:7" ht="15.75">
      <c r="A1" s="197" t="s">
        <v>155</v>
      </c>
      <c r="B1" s="197"/>
      <c r="C1" s="197"/>
      <c r="D1" s="197"/>
      <c r="E1" s="197"/>
      <c r="F1" s="197"/>
      <c r="G1" s="102"/>
    </row>
    <row r="2" spans="1:6" ht="15.75">
      <c r="A2" s="197" t="s">
        <v>31</v>
      </c>
      <c r="B2" s="197"/>
      <c r="C2" s="197"/>
      <c r="D2" s="197"/>
      <c r="E2" s="197"/>
      <c r="F2" s="197"/>
    </row>
    <row r="3" ht="9" customHeight="1"/>
    <row r="4" spans="2:8" ht="15.75" hidden="1" outlineLevel="1">
      <c r="B4" s="107" t="s">
        <v>92</v>
      </c>
      <c r="C4" s="107"/>
      <c r="D4" s="107"/>
      <c r="E4" s="107"/>
      <c r="F4" s="107"/>
      <c r="H4" s="106" t="s">
        <v>103</v>
      </c>
    </row>
    <row r="5" spans="2:8" ht="12.75" customHeight="1" outlineLevel="1">
      <c r="B5" s="107" t="s">
        <v>22</v>
      </c>
      <c r="C5" s="107"/>
      <c r="D5" s="107">
        <v>5316</v>
      </c>
      <c r="E5" s="107" t="s">
        <v>23</v>
      </c>
      <c r="F5" s="107"/>
      <c r="H5" s="106" t="s">
        <v>104</v>
      </c>
    </row>
    <row r="6" ht="9" customHeight="1"/>
    <row r="7" spans="2:6" ht="18.75" customHeight="1">
      <c r="B7" s="104" t="s">
        <v>156</v>
      </c>
      <c r="C7" s="104"/>
      <c r="D7" s="108">
        <f>'2015 (с марта)'!F43</f>
        <v>424146.08399999986</v>
      </c>
      <c r="E7" s="104" t="s">
        <v>15</v>
      </c>
      <c r="F7" s="104"/>
    </row>
    <row r="8" spans="2:6" ht="19.5" customHeight="1">
      <c r="B8" s="104" t="s">
        <v>157</v>
      </c>
      <c r="C8" s="107"/>
      <c r="D8" s="109">
        <f>C21</f>
        <v>-105750.3000000001</v>
      </c>
      <c r="E8" s="107" t="s">
        <v>57</v>
      </c>
      <c r="F8" s="107"/>
    </row>
    <row r="9" spans="2:6" ht="15.75">
      <c r="B9" s="107"/>
      <c r="C9" s="107"/>
      <c r="D9" s="107"/>
      <c r="E9" s="107"/>
      <c r="F9" s="110" t="s">
        <v>15</v>
      </c>
    </row>
    <row r="10" spans="1:6" s="106" customFormat="1" ht="28.5" customHeight="1">
      <c r="A10" s="111" t="s">
        <v>19</v>
      </c>
      <c r="B10" s="112" t="s">
        <v>37</v>
      </c>
      <c r="C10" s="113" t="s">
        <v>158</v>
      </c>
      <c r="D10" s="113" t="s">
        <v>0</v>
      </c>
      <c r="E10" s="113" t="s">
        <v>14</v>
      </c>
      <c r="F10" s="113" t="s">
        <v>159</v>
      </c>
    </row>
    <row r="11" spans="1:9" s="117" customFormat="1" ht="30" customHeight="1">
      <c r="A11" s="111">
        <v>1</v>
      </c>
      <c r="B11" s="114" t="s">
        <v>24</v>
      </c>
      <c r="C11" s="115">
        <v>-73939.93000000011</v>
      </c>
      <c r="D11" s="115">
        <f>483480.6-6147.14</f>
        <v>477333.45999999996</v>
      </c>
      <c r="E11" s="115">
        <v>471538.33</v>
      </c>
      <c r="F11" s="115">
        <f aca="true" t="shared" si="0" ref="F11:F20">C11-D11+E11</f>
        <v>-79735.06000000011</v>
      </c>
      <c r="G11" s="104" t="s">
        <v>66</v>
      </c>
      <c r="H11" s="105">
        <v>7.68</v>
      </c>
      <c r="I11" s="126">
        <f>H11*10*H29</f>
        <v>408268.8</v>
      </c>
    </row>
    <row r="12" spans="1:9" s="117" customFormat="1" ht="30" customHeight="1">
      <c r="A12" s="111">
        <v>2</v>
      </c>
      <c r="B12" s="114" t="s">
        <v>25</v>
      </c>
      <c r="C12" s="115">
        <v>-7661.129999999997</v>
      </c>
      <c r="D12" s="115">
        <f>50394.76-0.08</f>
        <v>50394.68</v>
      </c>
      <c r="E12" s="115">
        <v>49755.25</v>
      </c>
      <c r="F12" s="115">
        <f t="shared" si="0"/>
        <v>-8300.559999999998</v>
      </c>
      <c r="G12" s="103" t="s">
        <v>67</v>
      </c>
      <c r="H12" s="106">
        <v>2.69</v>
      </c>
      <c r="I12" s="126">
        <f>H12*12*H29</f>
        <v>171600.48</v>
      </c>
    </row>
    <row r="13" spans="1:9" s="117" customFormat="1" ht="33" customHeight="1">
      <c r="A13" s="111">
        <v>3</v>
      </c>
      <c r="B13" s="114" t="s">
        <v>26</v>
      </c>
      <c r="C13" s="115">
        <v>-13479.270000000004</v>
      </c>
      <c r="D13" s="115">
        <f>88667.4-0.14</f>
        <v>88667.26</v>
      </c>
      <c r="E13" s="115">
        <v>87530.2</v>
      </c>
      <c r="F13" s="115">
        <f t="shared" si="0"/>
        <v>-14616.330000000002</v>
      </c>
      <c r="G13" s="107" t="s">
        <v>68</v>
      </c>
      <c r="H13" s="106">
        <f>1.94</f>
        <v>1.94</v>
      </c>
      <c r="I13" s="126">
        <f>H13*12*H29</f>
        <v>123756.48000000001</v>
      </c>
    </row>
    <row r="14" spans="1:9" s="117" customFormat="1" ht="32.25" customHeight="1">
      <c r="A14" s="111">
        <v>4</v>
      </c>
      <c r="B14" s="114" t="s">
        <v>93</v>
      </c>
      <c r="C14" s="115">
        <v>-1799.6100000000006</v>
      </c>
      <c r="D14" s="115">
        <v>6467.86</v>
      </c>
      <c r="E14" s="115">
        <v>7071.26</v>
      </c>
      <c r="F14" s="115">
        <f t="shared" si="0"/>
        <v>-1196.210000000001</v>
      </c>
      <c r="G14" s="107" t="s">
        <v>69</v>
      </c>
      <c r="H14" s="106">
        <v>1.39</v>
      </c>
      <c r="I14" s="126">
        <f>H14*12*H29</f>
        <v>88670.88</v>
      </c>
    </row>
    <row r="15" spans="1:9" s="117" customFormat="1" ht="31.5" customHeight="1">
      <c r="A15" s="111">
        <v>5</v>
      </c>
      <c r="B15" s="114" t="s">
        <v>28</v>
      </c>
      <c r="C15" s="115">
        <v>9166.679999999995</v>
      </c>
      <c r="D15" s="115">
        <v>0</v>
      </c>
      <c r="E15" s="115">
        <v>7638.9</v>
      </c>
      <c r="F15" s="115">
        <f t="shared" si="0"/>
        <v>16805.579999999994</v>
      </c>
      <c r="G15" s="116"/>
      <c r="H15" s="127"/>
      <c r="I15" s="126"/>
    </row>
    <row r="16" spans="1:9" s="117" customFormat="1" ht="30" customHeight="1">
      <c r="A16" s="111">
        <v>6</v>
      </c>
      <c r="B16" s="114" t="s">
        <v>29</v>
      </c>
      <c r="C16" s="115">
        <v>-18037.03999999998</v>
      </c>
      <c r="D16" s="115">
        <f>118648.68-0.19</f>
        <v>118648.48999999999</v>
      </c>
      <c r="E16" s="115">
        <v>117143.21</v>
      </c>
      <c r="F16" s="115">
        <f t="shared" si="0"/>
        <v>-19542.319999999963</v>
      </c>
      <c r="G16" s="116"/>
      <c r="H16" s="194" t="s">
        <v>207</v>
      </c>
      <c r="I16" s="128"/>
    </row>
    <row r="17" spans="1:9" s="117" customFormat="1" ht="30" customHeight="1">
      <c r="A17" s="167">
        <v>7</v>
      </c>
      <c r="B17" s="168" t="s">
        <v>162</v>
      </c>
      <c r="C17" s="169">
        <v>0</v>
      </c>
      <c r="D17" s="170">
        <f>5124.6-92.01</f>
        <v>5032.59</v>
      </c>
      <c r="E17" s="170">
        <v>4431.22</v>
      </c>
      <c r="F17" s="171">
        <f t="shared" si="0"/>
        <v>-601.3699999999999</v>
      </c>
      <c r="G17" s="116"/>
      <c r="H17" s="194" t="s">
        <v>208</v>
      </c>
      <c r="I17" s="128"/>
    </row>
    <row r="18" spans="1:9" s="117" customFormat="1" ht="30" customHeight="1">
      <c r="A18" s="167">
        <v>8</v>
      </c>
      <c r="B18" s="168" t="s">
        <v>163</v>
      </c>
      <c r="C18" s="169">
        <v>0</v>
      </c>
      <c r="D18" s="170">
        <f>5515.2</f>
        <v>5515.2</v>
      </c>
      <c r="E18" s="170">
        <v>4558.96</v>
      </c>
      <c r="F18" s="171">
        <f t="shared" si="0"/>
        <v>-956.2399999999998</v>
      </c>
      <c r="G18" s="116"/>
      <c r="H18" s="127"/>
      <c r="I18" s="128"/>
    </row>
    <row r="19" spans="1:9" s="117" customFormat="1" ht="30" customHeight="1">
      <c r="A19" s="167">
        <v>9</v>
      </c>
      <c r="B19" s="168" t="s">
        <v>164</v>
      </c>
      <c r="C19" s="169">
        <v>0</v>
      </c>
      <c r="D19" s="170">
        <f>137699.43-19323.05+9.41</f>
        <v>118385.79</v>
      </c>
      <c r="E19" s="170">
        <v>112950.29</v>
      </c>
      <c r="F19" s="171">
        <f t="shared" si="0"/>
        <v>-5435.5</v>
      </c>
      <c r="G19" s="116"/>
      <c r="H19" s="127"/>
      <c r="I19" s="128"/>
    </row>
    <row r="20" spans="1:9" s="117" customFormat="1" ht="49.5" customHeight="1">
      <c r="A20" s="111">
        <v>10</v>
      </c>
      <c r="B20" s="168" t="s">
        <v>165</v>
      </c>
      <c r="C20" s="115">
        <v>0</v>
      </c>
      <c r="D20" s="115">
        <f>34973.28-0.05</f>
        <v>34973.229999999996</v>
      </c>
      <c r="E20" s="115">
        <v>30389.25</v>
      </c>
      <c r="F20" s="171">
        <f t="shared" si="0"/>
        <v>-4583.979999999996</v>
      </c>
      <c r="G20" s="116"/>
      <c r="H20" s="127"/>
      <c r="I20" s="128"/>
    </row>
    <row r="21" spans="1:9" ht="26.25" customHeight="1">
      <c r="A21" s="111"/>
      <c r="B21" s="114" t="s">
        <v>1</v>
      </c>
      <c r="C21" s="115">
        <f>SUM(C11:C20)</f>
        <v>-105750.3000000001</v>
      </c>
      <c r="D21" s="115">
        <f>SUM(D11:D20)</f>
        <v>905418.5599999999</v>
      </c>
      <c r="E21" s="115">
        <f>SUM(E11:E20)</f>
        <v>893006.87</v>
      </c>
      <c r="F21" s="115">
        <f>SUM(F11:F20)</f>
        <v>-118161.99000000009</v>
      </c>
      <c r="I21" s="106" t="s">
        <v>105</v>
      </c>
    </row>
    <row r="22" ht="11.25" customHeight="1"/>
    <row r="23" spans="1:6" ht="15.75">
      <c r="A23" s="197" t="s">
        <v>106</v>
      </c>
      <c r="B23" s="197"/>
      <c r="C23" s="197"/>
      <c r="D23" s="197"/>
      <c r="E23" s="197"/>
      <c r="F23" s="197"/>
    </row>
    <row r="24" spans="1:6" ht="15.75">
      <c r="A24" s="111" t="s">
        <v>19</v>
      </c>
      <c r="B24" s="112" t="s">
        <v>108</v>
      </c>
      <c r="C24" s="198" t="s">
        <v>109</v>
      </c>
      <c r="D24" s="198"/>
      <c r="E24" s="198"/>
      <c r="F24" s="111" t="s">
        <v>107</v>
      </c>
    </row>
    <row r="25" spans="1:7" ht="15.75">
      <c r="A25" s="111">
        <v>1</v>
      </c>
      <c r="B25" s="112" t="s">
        <v>110</v>
      </c>
      <c r="C25" s="199" t="s">
        <v>111</v>
      </c>
      <c r="D25" s="199"/>
      <c r="E25" s="199"/>
      <c r="F25" s="111">
        <f>300*12</f>
        <v>3600</v>
      </c>
      <c r="G25" s="103" t="s">
        <v>112</v>
      </c>
    </row>
    <row r="26" spans="1:6" ht="15.75">
      <c r="A26" s="197"/>
      <c r="B26" s="197"/>
      <c r="C26" s="197"/>
      <c r="D26" s="197"/>
      <c r="E26" s="197"/>
      <c r="F26" s="197"/>
    </row>
    <row r="27" spans="1:6" ht="15.75">
      <c r="A27" s="197" t="s">
        <v>20</v>
      </c>
      <c r="B27" s="197"/>
      <c r="C27" s="197"/>
      <c r="D27" s="197"/>
      <c r="E27" s="197"/>
      <c r="F27" s="197"/>
    </row>
    <row r="28" spans="1:8" ht="15.75">
      <c r="A28" s="102"/>
      <c r="B28" s="102"/>
      <c r="C28" s="102"/>
      <c r="D28" s="102"/>
      <c r="E28" s="102"/>
      <c r="F28" s="102"/>
      <c r="H28" s="106" t="s">
        <v>30</v>
      </c>
    </row>
    <row r="29" spans="1:8" ht="33" customHeight="1">
      <c r="A29" s="113" t="s">
        <v>84</v>
      </c>
      <c r="B29" s="200" t="s">
        <v>2</v>
      </c>
      <c r="C29" s="200"/>
      <c r="D29" s="200"/>
      <c r="E29" s="200"/>
      <c r="F29" s="118" t="s">
        <v>3</v>
      </c>
      <c r="G29" s="119"/>
      <c r="H29" s="106">
        <f>D5</f>
        <v>5316</v>
      </c>
    </row>
    <row r="30" spans="1:10" ht="18" customHeight="1">
      <c r="A30" s="138">
        <v>1</v>
      </c>
      <c r="B30" s="201" t="s">
        <v>4</v>
      </c>
      <c r="C30" s="201"/>
      <c r="D30" s="201"/>
      <c r="E30" s="201"/>
      <c r="F30" s="139">
        <f>I12</f>
        <v>171600.48</v>
      </c>
      <c r="G30" s="107"/>
      <c r="H30" s="106" t="s">
        <v>32</v>
      </c>
      <c r="I30" s="111" t="s">
        <v>33</v>
      </c>
      <c r="J30" s="112" t="s">
        <v>34</v>
      </c>
    </row>
    <row r="31" spans="1:10" ht="18" customHeight="1">
      <c r="A31" s="140">
        <v>2</v>
      </c>
      <c r="B31" s="202" t="s">
        <v>5</v>
      </c>
      <c r="C31" s="202"/>
      <c r="D31" s="202"/>
      <c r="E31" s="202"/>
      <c r="F31" s="141">
        <f>0.24*9*H29+0.71*3*H29</f>
        <v>22805.64</v>
      </c>
      <c r="G31" s="107"/>
      <c r="I31" s="115">
        <v>5435</v>
      </c>
      <c r="J31" s="124">
        <v>5707</v>
      </c>
    </row>
    <row r="32" spans="1:10" ht="18" customHeight="1">
      <c r="A32" s="140">
        <v>3</v>
      </c>
      <c r="B32" s="202" t="s">
        <v>35</v>
      </c>
      <c r="C32" s="202"/>
      <c r="D32" s="202"/>
      <c r="E32" s="202"/>
      <c r="F32" s="141">
        <f>I13</f>
        <v>123756.48000000001</v>
      </c>
      <c r="I32" s="115">
        <f>I31*12</f>
        <v>65220</v>
      </c>
      <c r="J32" s="124">
        <f>J31*12</f>
        <v>68484</v>
      </c>
    </row>
    <row r="33" spans="1:10" ht="18" customHeight="1">
      <c r="A33" s="140">
        <v>4</v>
      </c>
      <c r="B33" s="202" t="s">
        <v>36</v>
      </c>
      <c r="C33" s="202"/>
      <c r="D33" s="202"/>
      <c r="E33" s="202"/>
      <c r="F33" s="141">
        <f>D13</f>
        <v>88667.26</v>
      </c>
      <c r="I33" s="158"/>
      <c r="J33" s="109"/>
    </row>
    <row r="34" spans="1:10" ht="18" customHeight="1">
      <c r="A34" s="140">
        <v>5</v>
      </c>
      <c r="B34" s="202" t="s">
        <v>6</v>
      </c>
      <c r="C34" s="202"/>
      <c r="D34" s="202"/>
      <c r="E34" s="202"/>
      <c r="F34" s="141">
        <f>F35+F36+F39+F37+F38</f>
        <v>113869</v>
      </c>
      <c r="G34" s="125"/>
      <c r="I34" s="158"/>
      <c r="J34" s="109"/>
    </row>
    <row r="35" spans="1:10" ht="16.5" customHeight="1">
      <c r="A35" s="140" t="s">
        <v>7</v>
      </c>
      <c r="B35" s="202" t="s">
        <v>11</v>
      </c>
      <c r="C35" s="202"/>
      <c r="D35" s="202"/>
      <c r="E35" s="202"/>
      <c r="F35" s="141">
        <f>F90+F91+F92+F93+F94+F95+F96+F97+F98+F99+F100+F101+F102+F103+F104+F105+F106+F107+F108+F109+F110</f>
        <v>48757</v>
      </c>
      <c r="I35" s="158"/>
      <c r="J35" s="109"/>
    </row>
    <row r="36" spans="1:10" ht="16.5" customHeight="1">
      <c r="A36" s="140" t="s">
        <v>7</v>
      </c>
      <c r="B36" s="202" t="s">
        <v>12</v>
      </c>
      <c r="C36" s="202"/>
      <c r="D36" s="202"/>
      <c r="E36" s="202"/>
      <c r="F36" s="141">
        <f>F59+F60+F61+F62+F63+F64+F65+F66+F67+F68+F69+F70+F71+F72+F73+F74+F75+F76+F77+F78+F81+F82+F83+F85+F86+F87</f>
        <v>26688</v>
      </c>
      <c r="G36" s="109"/>
      <c r="I36" s="158"/>
      <c r="J36" s="109"/>
    </row>
    <row r="37" spans="1:8" ht="16.5" customHeight="1">
      <c r="A37" s="140" t="s">
        <v>7</v>
      </c>
      <c r="B37" s="202" t="s">
        <v>13</v>
      </c>
      <c r="C37" s="202"/>
      <c r="D37" s="202"/>
      <c r="E37" s="202"/>
      <c r="F37" s="141">
        <f>F111+F112+F113+F114+F135</f>
        <v>30403</v>
      </c>
      <c r="G37" s="107"/>
      <c r="H37" s="193" t="s">
        <v>207</v>
      </c>
    </row>
    <row r="38" spans="1:7" ht="16.5" customHeight="1">
      <c r="A38" s="140" t="s">
        <v>7</v>
      </c>
      <c r="B38" s="202" t="s">
        <v>154</v>
      </c>
      <c r="C38" s="202"/>
      <c r="D38" s="202"/>
      <c r="E38" s="202"/>
      <c r="F38" s="141">
        <f>F131+F132+F133+F134</f>
        <v>3726</v>
      </c>
      <c r="G38" s="107"/>
    </row>
    <row r="39" spans="1:7" ht="16.5" customHeight="1">
      <c r="A39" s="140" t="s">
        <v>7</v>
      </c>
      <c r="B39" s="203" t="s">
        <v>95</v>
      </c>
      <c r="C39" s="203"/>
      <c r="D39" s="203"/>
      <c r="E39" s="203"/>
      <c r="F39" s="141">
        <f>F58+F79+F80+F84+F88+F89</f>
        <v>4295</v>
      </c>
      <c r="G39" s="107"/>
    </row>
    <row r="40" spans="1:7" ht="17.25" customHeight="1">
      <c r="A40" s="140">
        <v>6</v>
      </c>
      <c r="B40" s="204" t="s">
        <v>25</v>
      </c>
      <c r="C40" s="204"/>
      <c r="D40" s="204"/>
      <c r="E40" s="204"/>
      <c r="F40" s="141">
        <f>D12</f>
        <v>50394.68</v>
      </c>
      <c r="G40" s="107"/>
    </row>
    <row r="41" spans="1:7" ht="17.25" customHeight="1">
      <c r="A41" s="140">
        <v>7</v>
      </c>
      <c r="B41" s="204" t="s">
        <v>27</v>
      </c>
      <c r="C41" s="204"/>
      <c r="D41" s="204"/>
      <c r="E41" s="204"/>
      <c r="F41" s="141">
        <f>D14</f>
        <v>6467.86</v>
      </c>
      <c r="G41" s="107"/>
    </row>
    <row r="42" spans="1:7" ht="17.25" customHeight="1">
      <c r="A42" s="140">
        <v>8</v>
      </c>
      <c r="B42" s="204" t="s">
        <v>203</v>
      </c>
      <c r="C42" s="204"/>
      <c r="D42" s="204"/>
      <c r="E42" s="204"/>
      <c r="F42" s="141">
        <f>F136</f>
        <v>17831.69</v>
      </c>
      <c r="G42" s="107"/>
    </row>
    <row r="43" spans="1:7" ht="17.25" customHeight="1">
      <c r="A43" s="140">
        <v>9</v>
      </c>
      <c r="B43" s="204" t="s">
        <v>153</v>
      </c>
      <c r="C43" s="204"/>
      <c r="D43" s="204"/>
      <c r="E43" s="204"/>
      <c r="F43" s="141">
        <f>F117+F118+F119+F120+F121+F122+F123+F124+F125+F126+F127+F128+F129+F130</f>
        <v>115776.48</v>
      </c>
      <c r="G43" s="109"/>
    </row>
    <row r="44" spans="1:7" ht="17.25" customHeight="1">
      <c r="A44" s="140">
        <v>10</v>
      </c>
      <c r="B44" s="205" t="s">
        <v>205</v>
      </c>
      <c r="C44" s="206"/>
      <c r="D44" s="206"/>
      <c r="E44" s="207"/>
      <c r="F44" s="141">
        <f>F137+F138</f>
        <v>2000</v>
      </c>
      <c r="G44" s="107"/>
    </row>
    <row r="45" spans="1:7" ht="17.25" customHeight="1">
      <c r="A45" s="172">
        <v>11</v>
      </c>
      <c r="B45" s="209" t="s">
        <v>162</v>
      </c>
      <c r="C45" s="209"/>
      <c r="D45" s="209"/>
      <c r="E45" s="209"/>
      <c r="F45" s="173">
        <f>D17</f>
        <v>5032.59</v>
      </c>
      <c r="G45" s="107"/>
    </row>
    <row r="46" spans="1:7" ht="17.25" customHeight="1">
      <c r="A46" s="172">
        <v>12</v>
      </c>
      <c r="B46" s="209" t="s">
        <v>163</v>
      </c>
      <c r="C46" s="209"/>
      <c r="D46" s="209"/>
      <c r="E46" s="209"/>
      <c r="F46" s="173">
        <f>D18</f>
        <v>5515.2</v>
      </c>
      <c r="G46" s="107"/>
    </row>
    <row r="47" spans="1:7" ht="17.25" customHeight="1">
      <c r="A47" s="172">
        <v>13</v>
      </c>
      <c r="B47" s="209" t="s">
        <v>164</v>
      </c>
      <c r="C47" s="209"/>
      <c r="D47" s="209"/>
      <c r="E47" s="209"/>
      <c r="F47" s="173">
        <f>D19</f>
        <v>118385.79</v>
      </c>
      <c r="G47" s="107"/>
    </row>
    <row r="48" spans="1:7" ht="17.25" customHeight="1">
      <c r="A48" s="165">
        <v>14</v>
      </c>
      <c r="B48" s="209" t="s">
        <v>165</v>
      </c>
      <c r="C48" s="209"/>
      <c r="D48" s="209"/>
      <c r="E48" s="209"/>
      <c r="F48" s="166">
        <f>D20</f>
        <v>34973.229999999996</v>
      </c>
      <c r="G48" s="107"/>
    </row>
    <row r="49" spans="1:7" ht="17.25" customHeight="1">
      <c r="A49" s="165">
        <v>15</v>
      </c>
      <c r="B49" s="209" t="s">
        <v>209</v>
      </c>
      <c r="C49" s="209"/>
      <c r="D49" s="209"/>
      <c r="E49" s="209"/>
      <c r="F49" s="166">
        <f>F139</f>
        <v>6600</v>
      </c>
      <c r="G49" s="107"/>
    </row>
    <row r="50" spans="1:9" s="120" customFormat="1" ht="21" customHeight="1">
      <c r="A50" s="142"/>
      <c r="B50" s="208" t="s">
        <v>8</v>
      </c>
      <c r="C50" s="208"/>
      <c r="D50" s="208"/>
      <c r="E50" s="208"/>
      <c r="F50" s="143">
        <f>F30+F31+F32+F34+F43+F33+F40+F41+F42+F44+F45+F46+F47+F48+F49</f>
        <v>883676.3799999999</v>
      </c>
      <c r="G50" s="104"/>
      <c r="H50" s="105"/>
      <c r="I50" s="105"/>
    </row>
    <row r="52" spans="1:6" ht="18" customHeight="1">
      <c r="A52" s="210" t="s">
        <v>160</v>
      </c>
      <c r="B52" s="210"/>
      <c r="C52" s="210"/>
      <c r="D52" s="210"/>
      <c r="E52" s="210"/>
      <c r="F52" s="121">
        <f>D21-F50+D7+F25</f>
        <v>449488.2639999999</v>
      </c>
    </row>
    <row r="53" spans="1:6" ht="20.25" customHeight="1">
      <c r="A53" s="211" t="s">
        <v>161</v>
      </c>
      <c r="B53" s="211"/>
      <c r="C53" s="211"/>
      <c r="D53" s="211"/>
      <c r="E53" s="211"/>
      <c r="F53" s="121">
        <f>F21</f>
        <v>-118161.99000000009</v>
      </c>
    </row>
    <row r="54" spans="1:6" ht="18" customHeight="1">
      <c r="A54" s="212" t="s">
        <v>82</v>
      </c>
      <c r="B54" s="212"/>
      <c r="C54" s="212"/>
      <c r="D54" s="212"/>
      <c r="E54" s="212"/>
      <c r="F54" s="121">
        <f>F52+F53</f>
        <v>331326.2739999998</v>
      </c>
    </row>
    <row r="55" ht="11.25" customHeight="1"/>
    <row r="57" spans="1:9" s="160" customFormat="1" ht="15.75">
      <c r="A57" s="159" t="s">
        <v>19</v>
      </c>
      <c r="B57" s="159" t="s">
        <v>10</v>
      </c>
      <c r="C57" s="213" t="s">
        <v>17</v>
      </c>
      <c r="D57" s="214"/>
      <c r="E57" s="215"/>
      <c r="F57" s="159" t="s">
        <v>18</v>
      </c>
      <c r="H57" s="161"/>
      <c r="I57" s="161"/>
    </row>
    <row r="58" spans="1:9" s="160" customFormat="1" ht="45">
      <c r="A58" s="159"/>
      <c r="B58" s="191" t="s">
        <v>206</v>
      </c>
      <c r="C58" s="223" t="s">
        <v>62</v>
      </c>
      <c r="D58" s="224"/>
      <c r="E58" s="225"/>
      <c r="F58" s="153">
        <f>170*7</f>
        <v>1190</v>
      </c>
      <c r="G58" s="195"/>
      <c r="H58" s="161"/>
      <c r="I58" s="161"/>
    </row>
    <row r="59" spans="1:9" s="162" customFormat="1" ht="36.75" customHeight="1">
      <c r="A59" s="159"/>
      <c r="B59" s="174">
        <v>42751</v>
      </c>
      <c r="C59" s="216" t="s">
        <v>166</v>
      </c>
      <c r="D59" s="217"/>
      <c r="E59" s="218"/>
      <c r="F59" s="175">
        <v>468</v>
      </c>
      <c r="H59" s="163"/>
      <c r="I59" s="163"/>
    </row>
    <row r="60" spans="1:9" s="162" customFormat="1" ht="33" customHeight="1">
      <c r="A60" s="159"/>
      <c r="B60" s="174">
        <v>42755</v>
      </c>
      <c r="C60" s="216" t="s">
        <v>166</v>
      </c>
      <c r="D60" s="217"/>
      <c r="E60" s="218"/>
      <c r="F60" s="175">
        <v>509</v>
      </c>
      <c r="H60" s="163"/>
      <c r="I60" s="163"/>
    </row>
    <row r="61" spans="1:9" s="162" customFormat="1" ht="31.5" customHeight="1">
      <c r="A61" s="176"/>
      <c r="B61" s="174">
        <v>42761</v>
      </c>
      <c r="C61" s="216" t="s">
        <v>167</v>
      </c>
      <c r="D61" s="217"/>
      <c r="E61" s="218"/>
      <c r="F61" s="175">
        <v>508</v>
      </c>
      <c r="H61" s="163"/>
      <c r="I61" s="163"/>
    </row>
    <row r="62" spans="1:9" s="162" customFormat="1" ht="15" customHeight="1">
      <c r="A62" s="176"/>
      <c r="B62" s="174">
        <v>42772</v>
      </c>
      <c r="C62" s="216" t="s">
        <v>128</v>
      </c>
      <c r="D62" s="217"/>
      <c r="E62" s="218"/>
      <c r="F62" s="175">
        <v>1917</v>
      </c>
      <c r="H62" s="163"/>
      <c r="I62" s="163"/>
    </row>
    <row r="63" spans="1:9" s="162" customFormat="1" ht="27.75" customHeight="1">
      <c r="A63" s="176"/>
      <c r="B63" s="174">
        <v>42775</v>
      </c>
      <c r="C63" s="216" t="s">
        <v>168</v>
      </c>
      <c r="D63" s="217"/>
      <c r="E63" s="218"/>
      <c r="F63" s="175">
        <v>586</v>
      </c>
      <c r="H63" s="163"/>
      <c r="I63" s="163"/>
    </row>
    <row r="64" spans="1:9" s="162" customFormat="1" ht="53.25" customHeight="1">
      <c r="A64" s="176"/>
      <c r="B64" s="174">
        <v>42797</v>
      </c>
      <c r="C64" s="216" t="s">
        <v>169</v>
      </c>
      <c r="D64" s="217"/>
      <c r="E64" s="218"/>
      <c r="F64" s="175">
        <v>626</v>
      </c>
      <c r="H64" s="163"/>
      <c r="I64" s="163"/>
    </row>
    <row r="65" spans="1:9" s="162" customFormat="1" ht="34.5" customHeight="1">
      <c r="A65" s="176"/>
      <c r="B65" s="174">
        <v>42823</v>
      </c>
      <c r="C65" s="216" t="s">
        <v>168</v>
      </c>
      <c r="D65" s="217"/>
      <c r="E65" s="218"/>
      <c r="F65" s="175">
        <v>619</v>
      </c>
      <c r="H65" s="163"/>
      <c r="I65" s="163"/>
    </row>
    <row r="66" spans="1:9" s="162" customFormat="1" ht="27.75" customHeight="1">
      <c r="A66" s="176"/>
      <c r="B66" s="174">
        <v>42825</v>
      </c>
      <c r="C66" s="216" t="s">
        <v>170</v>
      </c>
      <c r="D66" s="217"/>
      <c r="E66" s="218"/>
      <c r="F66" s="175">
        <v>425</v>
      </c>
      <c r="H66" s="163"/>
      <c r="I66" s="163"/>
    </row>
    <row r="67" spans="1:9" s="162" customFormat="1" ht="32.25" customHeight="1">
      <c r="A67" s="176"/>
      <c r="B67" s="174">
        <v>42842</v>
      </c>
      <c r="C67" s="216" t="s">
        <v>171</v>
      </c>
      <c r="D67" s="217"/>
      <c r="E67" s="218"/>
      <c r="F67" s="175">
        <v>12333</v>
      </c>
      <c r="H67" s="163"/>
      <c r="I67" s="163"/>
    </row>
    <row r="68" spans="1:9" s="162" customFormat="1" ht="34.5" customHeight="1">
      <c r="A68" s="176"/>
      <c r="B68" s="174">
        <v>42842</v>
      </c>
      <c r="C68" s="216" t="s">
        <v>172</v>
      </c>
      <c r="D68" s="217"/>
      <c r="E68" s="218"/>
      <c r="F68" s="175">
        <v>913</v>
      </c>
      <c r="H68" s="163"/>
      <c r="I68" s="163"/>
    </row>
    <row r="69" spans="1:9" s="162" customFormat="1" ht="39.75" customHeight="1">
      <c r="A69" s="176"/>
      <c r="B69" s="174">
        <v>42851</v>
      </c>
      <c r="C69" s="216" t="s">
        <v>173</v>
      </c>
      <c r="D69" s="217"/>
      <c r="E69" s="218"/>
      <c r="F69" s="175">
        <v>585</v>
      </c>
      <c r="H69" s="163"/>
      <c r="I69" s="163"/>
    </row>
    <row r="70" spans="1:9" s="162" customFormat="1" ht="52.5" customHeight="1">
      <c r="A70" s="176"/>
      <c r="B70" s="174">
        <v>42857</v>
      </c>
      <c r="C70" s="216" t="s">
        <v>174</v>
      </c>
      <c r="D70" s="217"/>
      <c r="E70" s="218"/>
      <c r="F70" s="175">
        <v>954</v>
      </c>
      <c r="H70" s="163"/>
      <c r="I70" s="163"/>
    </row>
    <row r="71" spans="1:9" s="162" customFormat="1" ht="36.75" customHeight="1">
      <c r="A71" s="176"/>
      <c r="B71" s="174">
        <v>42874</v>
      </c>
      <c r="C71" s="216" t="s">
        <v>166</v>
      </c>
      <c r="D71" s="217"/>
      <c r="E71" s="218"/>
      <c r="F71" s="175">
        <v>463</v>
      </c>
      <c r="H71" s="163"/>
      <c r="I71" s="163"/>
    </row>
    <row r="72" spans="1:9" s="162" customFormat="1" ht="36.75" customHeight="1">
      <c r="A72" s="176"/>
      <c r="B72" s="174">
        <v>42891</v>
      </c>
      <c r="C72" s="216" t="s">
        <v>168</v>
      </c>
      <c r="D72" s="217"/>
      <c r="E72" s="218"/>
      <c r="F72" s="175">
        <v>645</v>
      </c>
      <c r="H72" s="163"/>
      <c r="I72" s="163"/>
    </row>
    <row r="73" spans="1:9" s="162" customFormat="1" ht="36.75" customHeight="1">
      <c r="A73" s="176"/>
      <c r="B73" s="174">
        <v>42893</v>
      </c>
      <c r="C73" s="216" t="s">
        <v>166</v>
      </c>
      <c r="D73" s="217"/>
      <c r="E73" s="218"/>
      <c r="F73" s="175">
        <v>524</v>
      </c>
      <c r="H73" s="163"/>
      <c r="I73" s="163"/>
    </row>
    <row r="74" spans="1:9" s="162" customFormat="1" ht="36.75" customHeight="1">
      <c r="A74" s="176"/>
      <c r="B74" s="174">
        <v>42906</v>
      </c>
      <c r="C74" s="216" t="s">
        <v>175</v>
      </c>
      <c r="D74" s="217"/>
      <c r="E74" s="218"/>
      <c r="F74" s="175">
        <v>672</v>
      </c>
      <c r="H74" s="163"/>
      <c r="I74" s="163"/>
    </row>
    <row r="75" spans="1:9" s="162" customFormat="1" ht="36.75" customHeight="1">
      <c r="A75" s="176"/>
      <c r="B75" s="174">
        <v>42906</v>
      </c>
      <c r="C75" s="216" t="s">
        <v>168</v>
      </c>
      <c r="D75" s="217"/>
      <c r="E75" s="218"/>
      <c r="F75" s="175">
        <v>648</v>
      </c>
      <c r="H75" s="163"/>
      <c r="I75" s="163"/>
    </row>
    <row r="76" spans="1:9" s="162" customFormat="1" ht="15" customHeight="1">
      <c r="A76" s="176"/>
      <c r="B76" s="174">
        <v>42888</v>
      </c>
      <c r="C76" s="216" t="s">
        <v>170</v>
      </c>
      <c r="D76" s="217"/>
      <c r="E76" s="218"/>
      <c r="F76" s="175">
        <v>425</v>
      </c>
      <c r="H76" s="163"/>
      <c r="I76" s="163"/>
    </row>
    <row r="77" spans="1:9" s="162" customFormat="1" ht="33" customHeight="1">
      <c r="A77" s="176"/>
      <c r="B77" s="174">
        <v>42923</v>
      </c>
      <c r="C77" s="216" t="s">
        <v>166</v>
      </c>
      <c r="D77" s="217"/>
      <c r="E77" s="218"/>
      <c r="F77" s="175">
        <v>289</v>
      </c>
      <c r="H77" s="163"/>
      <c r="I77" s="163"/>
    </row>
    <row r="78" spans="1:9" s="162" customFormat="1" ht="33" customHeight="1">
      <c r="A78" s="176"/>
      <c r="B78" s="174">
        <v>42975</v>
      </c>
      <c r="C78" s="216" t="s">
        <v>166</v>
      </c>
      <c r="D78" s="217"/>
      <c r="E78" s="218"/>
      <c r="F78" s="175">
        <v>498</v>
      </c>
      <c r="H78" s="163"/>
      <c r="I78" s="163"/>
    </row>
    <row r="79" spans="1:9" s="162" customFormat="1" ht="30.75" customHeight="1">
      <c r="A79" s="176"/>
      <c r="B79" s="174">
        <v>42978</v>
      </c>
      <c r="C79" s="216" t="s">
        <v>176</v>
      </c>
      <c r="D79" s="217"/>
      <c r="E79" s="218"/>
      <c r="F79" s="175">
        <v>745</v>
      </c>
      <c r="H79" s="163"/>
      <c r="I79" s="163"/>
    </row>
    <row r="80" spans="1:9" s="162" customFormat="1" ht="34.5" customHeight="1">
      <c r="A80" s="176"/>
      <c r="B80" s="174">
        <v>43008</v>
      </c>
      <c r="C80" s="216" t="s">
        <v>176</v>
      </c>
      <c r="D80" s="217"/>
      <c r="E80" s="218"/>
      <c r="F80" s="175">
        <v>815</v>
      </c>
      <c r="H80" s="163"/>
      <c r="I80" s="163"/>
    </row>
    <row r="81" spans="1:9" s="162" customFormat="1" ht="32.25" customHeight="1">
      <c r="A81" s="176"/>
      <c r="B81" s="174">
        <v>42989</v>
      </c>
      <c r="C81" s="216" t="s">
        <v>166</v>
      </c>
      <c r="D81" s="217"/>
      <c r="E81" s="218"/>
      <c r="F81" s="175">
        <v>284</v>
      </c>
      <c r="H81" s="163"/>
      <c r="I81" s="163"/>
    </row>
    <row r="82" spans="1:9" s="162" customFormat="1" ht="32.25" customHeight="1">
      <c r="A82" s="176"/>
      <c r="B82" s="174">
        <v>43006</v>
      </c>
      <c r="C82" s="216" t="s">
        <v>166</v>
      </c>
      <c r="D82" s="217"/>
      <c r="E82" s="218"/>
      <c r="F82" s="175">
        <v>248</v>
      </c>
      <c r="H82" s="163"/>
      <c r="I82" s="163"/>
    </row>
    <row r="83" spans="1:9" s="160" customFormat="1" ht="32.25" customHeight="1">
      <c r="A83" s="176"/>
      <c r="B83" s="174">
        <v>43010</v>
      </c>
      <c r="C83" s="216" t="s">
        <v>166</v>
      </c>
      <c r="D83" s="217"/>
      <c r="E83" s="218"/>
      <c r="F83" s="175">
        <v>248</v>
      </c>
      <c r="H83" s="161"/>
      <c r="I83" s="161"/>
    </row>
    <row r="84" spans="1:9" s="160" customFormat="1" ht="15.75" customHeight="1">
      <c r="A84" s="176"/>
      <c r="B84" s="174">
        <v>43039</v>
      </c>
      <c r="C84" s="216" t="s">
        <v>176</v>
      </c>
      <c r="D84" s="217"/>
      <c r="E84" s="218"/>
      <c r="F84" s="175">
        <v>365</v>
      </c>
      <c r="H84" s="161"/>
      <c r="I84" s="161"/>
    </row>
    <row r="85" spans="1:9" s="160" customFormat="1" ht="27.75" customHeight="1">
      <c r="A85" s="176"/>
      <c r="B85" s="174">
        <v>43046</v>
      </c>
      <c r="C85" s="216" t="s">
        <v>166</v>
      </c>
      <c r="D85" s="217"/>
      <c r="E85" s="218"/>
      <c r="F85" s="175">
        <v>460</v>
      </c>
      <c r="H85" s="161"/>
      <c r="I85" s="161"/>
    </row>
    <row r="86" spans="1:9" s="160" customFormat="1" ht="27.75" customHeight="1">
      <c r="A86" s="176"/>
      <c r="B86" s="174">
        <v>43061</v>
      </c>
      <c r="C86" s="216" t="s">
        <v>177</v>
      </c>
      <c r="D86" s="217"/>
      <c r="E86" s="218"/>
      <c r="F86" s="175">
        <v>664</v>
      </c>
      <c r="H86" s="161"/>
      <c r="I86" s="161"/>
    </row>
    <row r="87" spans="1:9" s="162" customFormat="1" ht="36" customHeight="1">
      <c r="A87" s="176"/>
      <c r="B87" s="174">
        <v>43062</v>
      </c>
      <c r="C87" s="216" t="s">
        <v>166</v>
      </c>
      <c r="D87" s="217"/>
      <c r="E87" s="218"/>
      <c r="F87" s="175">
        <v>177</v>
      </c>
      <c r="H87" s="163"/>
      <c r="I87" s="163"/>
    </row>
    <row r="88" spans="1:9" s="162" customFormat="1" ht="15" customHeight="1">
      <c r="A88" s="176"/>
      <c r="B88" s="174">
        <v>43069</v>
      </c>
      <c r="C88" s="216" t="s">
        <v>176</v>
      </c>
      <c r="D88" s="217"/>
      <c r="E88" s="218"/>
      <c r="F88" s="175">
        <v>740</v>
      </c>
      <c r="H88" s="163"/>
      <c r="I88" s="163"/>
    </row>
    <row r="89" spans="1:9" s="162" customFormat="1" ht="15.75">
      <c r="A89" s="176"/>
      <c r="B89" s="174">
        <v>43098</v>
      </c>
      <c r="C89" s="216" t="s">
        <v>176</v>
      </c>
      <c r="D89" s="217"/>
      <c r="E89" s="218"/>
      <c r="F89" s="175">
        <v>440</v>
      </c>
      <c r="H89" s="163"/>
      <c r="I89" s="163"/>
    </row>
    <row r="90" spans="1:9" s="162" customFormat="1" ht="68.25" customHeight="1">
      <c r="A90" s="176"/>
      <c r="B90" s="174">
        <v>42773</v>
      </c>
      <c r="C90" s="216" t="s">
        <v>178</v>
      </c>
      <c r="D90" s="217"/>
      <c r="E90" s="218"/>
      <c r="F90" s="177">
        <v>1372</v>
      </c>
      <c r="H90" s="163"/>
      <c r="I90" s="163"/>
    </row>
    <row r="91" spans="1:9" s="162" customFormat="1" ht="39.75" customHeight="1">
      <c r="A91" s="176"/>
      <c r="B91" s="174">
        <v>42825</v>
      </c>
      <c r="C91" s="216" t="s">
        <v>179</v>
      </c>
      <c r="D91" s="217"/>
      <c r="E91" s="218"/>
      <c r="F91" s="177">
        <v>1431</v>
      </c>
      <c r="H91" s="163"/>
      <c r="I91" s="163"/>
    </row>
    <row r="92" spans="1:9" s="162" customFormat="1" ht="49.5" customHeight="1">
      <c r="A92" s="176"/>
      <c r="B92" s="174">
        <v>42825</v>
      </c>
      <c r="C92" s="216" t="s">
        <v>180</v>
      </c>
      <c r="D92" s="217"/>
      <c r="E92" s="218"/>
      <c r="F92" s="177">
        <v>654</v>
      </c>
      <c r="H92" s="163"/>
      <c r="I92" s="163"/>
    </row>
    <row r="93" spans="1:9" s="162" customFormat="1" ht="49.5" customHeight="1">
      <c r="A93" s="176"/>
      <c r="B93" s="174">
        <v>42835</v>
      </c>
      <c r="C93" s="216" t="s">
        <v>180</v>
      </c>
      <c r="D93" s="217"/>
      <c r="E93" s="218"/>
      <c r="F93" s="177">
        <v>687</v>
      </c>
      <c r="H93" s="163"/>
      <c r="I93" s="163"/>
    </row>
    <row r="94" spans="1:9" s="162" customFormat="1" ht="27.75" customHeight="1">
      <c r="A94" s="176"/>
      <c r="B94" s="174">
        <v>42836</v>
      </c>
      <c r="C94" s="216" t="s">
        <v>181</v>
      </c>
      <c r="D94" s="217"/>
      <c r="E94" s="218"/>
      <c r="F94" s="177">
        <v>840</v>
      </c>
      <c r="H94" s="163"/>
      <c r="I94" s="163"/>
    </row>
    <row r="95" spans="1:9" s="162" customFormat="1" ht="63.75" customHeight="1">
      <c r="A95" s="176"/>
      <c r="B95" s="174">
        <v>42837</v>
      </c>
      <c r="C95" s="216" t="s">
        <v>182</v>
      </c>
      <c r="D95" s="217"/>
      <c r="E95" s="218"/>
      <c r="F95" s="177">
        <v>2107</v>
      </c>
      <c r="H95" s="163"/>
      <c r="I95" s="163"/>
    </row>
    <row r="96" spans="1:9" s="162" customFormat="1" ht="63.75" customHeight="1">
      <c r="A96" s="176"/>
      <c r="B96" s="174">
        <v>42843</v>
      </c>
      <c r="C96" s="216" t="s">
        <v>178</v>
      </c>
      <c r="D96" s="217"/>
      <c r="E96" s="218"/>
      <c r="F96" s="177">
        <v>3516</v>
      </c>
      <c r="H96" s="163"/>
      <c r="I96" s="163"/>
    </row>
    <row r="97" spans="1:9" s="162" customFormat="1" ht="63.75" customHeight="1">
      <c r="A97" s="176"/>
      <c r="B97" s="174">
        <v>42845</v>
      </c>
      <c r="C97" s="216" t="s">
        <v>178</v>
      </c>
      <c r="D97" s="217"/>
      <c r="E97" s="218"/>
      <c r="F97" s="177">
        <v>3966</v>
      </c>
      <c r="H97" s="163"/>
      <c r="I97" s="163"/>
    </row>
    <row r="98" spans="1:9" s="162" customFormat="1" ht="40.5" customHeight="1">
      <c r="A98" s="176"/>
      <c r="B98" s="174">
        <v>42857</v>
      </c>
      <c r="C98" s="216" t="s">
        <v>183</v>
      </c>
      <c r="D98" s="217"/>
      <c r="E98" s="218"/>
      <c r="F98" s="177">
        <v>377</v>
      </c>
      <c r="H98" s="163"/>
      <c r="I98" s="163"/>
    </row>
    <row r="99" spans="1:9" s="162" customFormat="1" ht="33.75" customHeight="1">
      <c r="A99" s="176"/>
      <c r="B99" s="174">
        <v>42878</v>
      </c>
      <c r="C99" s="216" t="s">
        <v>183</v>
      </c>
      <c r="D99" s="217"/>
      <c r="E99" s="218"/>
      <c r="F99" s="177">
        <v>931</v>
      </c>
      <c r="H99" s="163"/>
      <c r="I99" s="163"/>
    </row>
    <row r="100" spans="1:9" s="162" customFormat="1" ht="33.75" customHeight="1">
      <c r="A100" s="176"/>
      <c r="B100" s="174">
        <v>42894</v>
      </c>
      <c r="C100" s="216" t="s">
        <v>183</v>
      </c>
      <c r="D100" s="217"/>
      <c r="E100" s="218"/>
      <c r="F100" s="177">
        <v>377</v>
      </c>
      <c r="H100" s="163"/>
      <c r="I100" s="163"/>
    </row>
    <row r="101" spans="1:9" s="162" customFormat="1" ht="67.5" customHeight="1">
      <c r="A101" s="176"/>
      <c r="B101" s="174">
        <v>42892</v>
      </c>
      <c r="C101" s="216" t="s">
        <v>178</v>
      </c>
      <c r="D101" s="217"/>
      <c r="E101" s="218"/>
      <c r="F101" s="177">
        <v>2869</v>
      </c>
      <c r="H101" s="163"/>
      <c r="I101" s="163"/>
    </row>
    <row r="102" spans="1:9" s="162" customFormat="1" ht="50.25" customHeight="1">
      <c r="A102" s="176"/>
      <c r="B102" s="174">
        <v>42895</v>
      </c>
      <c r="C102" s="216" t="s">
        <v>184</v>
      </c>
      <c r="D102" s="217"/>
      <c r="E102" s="218"/>
      <c r="F102" s="177">
        <v>474</v>
      </c>
      <c r="H102" s="163"/>
      <c r="I102" s="163"/>
    </row>
    <row r="103" spans="1:9" s="162" customFormat="1" ht="64.5" customHeight="1">
      <c r="A103" s="176"/>
      <c r="B103" s="174">
        <v>42901</v>
      </c>
      <c r="C103" s="216" t="s">
        <v>185</v>
      </c>
      <c r="D103" s="217"/>
      <c r="E103" s="218"/>
      <c r="F103" s="177">
        <v>19055</v>
      </c>
      <c r="H103" s="163"/>
      <c r="I103" s="163"/>
    </row>
    <row r="104" spans="1:9" s="162" customFormat="1" ht="15" customHeight="1">
      <c r="A104" s="176"/>
      <c r="B104" s="174">
        <v>42941</v>
      </c>
      <c r="C104" s="216" t="s">
        <v>123</v>
      </c>
      <c r="D104" s="217"/>
      <c r="E104" s="218"/>
      <c r="F104" s="177">
        <v>828</v>
      </c>
      <c r="H104" s="163"/>
      <c r="I104" s="163"/>
    </row>
    <row r="105" spans="1:9" s="162" customFormat="1" ht="15" customHeight="1">
      <c r="A105" s="176"/>
      <c r="B105" s="174">
        <v>42947</v>
      </c>
      <c r="C105" s="216" t="s">
        <v>186</v>
      </c>
      <c r="D105" s="217"/>
      <c r="E105" s="218"/>
      <c r="F105" s="177">
        <v>3038</v>
      </c>
      <c r="H105" s="163"/>
      <c r="I105" s="163"/>
    </row>
    <row r="106" spans="1:9" s="162" customFormat="1" ht="53.25" customHeight="1">
      <c r="A106" s="176"/>
      <c r="B106" s="174">
        <v>42996</v>
      </c>
      <c r="C106" s="216" t="s">
        <v>187</v>
      </c>
      <c r="D106" s="217"/>
      <c r="E106" s="218"/>
      <c r="F106" s="177">
        <v>2697</v>
      </c>
      <c r="H106" s="163"/>
      <c r="I106" s="163"/>
    </row>
    <row r="107" spans="1:9" s="162" customFormat="1" ht="15" customHeight="1">
      <c r="A107" s="176"/>
      <c r="B107" s="174">
        <v>42997</v>
      </c>
      <c r="C107" s="216" t="s">
        <v>188</v>
      </c>
      <c r="D107" s="217"/>
      <c r="E107" s="218"/>
      <c r="F107" s="177">
        <v>1859</v>
      </c>
      <c r="H107" s="163"/>
      <c r="I107" s="163"/>
    </row>
    <row r="108" spans="1:9" s="162" customFormat="1" ht="46.5" customHeight="1">
      <c r="A108" s="176"/>
      <c r="B108" s="174">
        <v>43069</v>
      </c>
      <c r="C108" s="216" t="s">
        <v>189</v>
      </c>
      <c r="D108" s="217"/>
      <c r="E108" s="218"/>
      <c r="F108" s="177">
        <v>466</v>
      </c>
      <c r="H108" s="163"/>
      <c r="I108" s="163"/>
    </row>
    <row r="109" spans="1:9" s="162" customFormat="1" ht="46.5" customHeight="1">
      <c r="A109" s="176"/>
      <c r="B109" s="174">
        <v>43074</v>
      </c>
      <c r="C109" s="216" t="s">
        <v>190</v>
      </c>
      <c r="D109" s="217"/>
      <c r="E109" s="218"/>
      <c r="F109" s="177">
        <v>842</v>
      </c>
      <c r="H109" s="163"/>
      <c r="I109" s="163"/>
    </row>
    <row r="110" spans="1:9" s="162" customFormat="1" ht="46.5" customHeight="1">
      <c r="A110" s="176"/>
      <c r="B110" s="174">
        <v>43080</v>
      </c>
      <c r="C110" s="216" t="s">
        <v>189</v>
      </c>
      <c r="D110" s="217"/>
      <c r="E110" s="218"/>
      <c r="F110" s="177">
        <v>371</v>
      </c>
      <c r="H110" s="163"/>
      <c r="I110" s="163"/>
    </row>
    <row r="111" spans="1:9" s="162" customFormat="1" ht="71.25" customHeight="1">
      <c r="A111" s="176"/>
      <c r="B111" s="174">
        <v>42755</v>
      </c>
      <c r="C111" s="216" t="s">
        <v>191</v>
      </c>
      <c r="D111" s="217"/>
      <c r="E111" s="218"/>
      <c r="F111" s="178">
        <v>9058</v>
      </c>
      <c r="H111" s="163"/>
      <c r="I111" s="163"/>
    </row>
    <row r="112" spans="1:9" s="162" customFormat="1" ht="27.75" customHeight="1">
      <c r="A112" s="176"/>
      <c r="B112" s="174">
        <v>42815</v>
      </c>
      <c r="C112" s="216" t="s">
        <v>151</v>
      </c>
      <c r="D112" s="217"/>
      <c r="E112" s="218"/>
      <c r="F112" s="178">
        <v>1620</v>
      </c>
      <c r="H112" s="163"/>
      <c r="I112" s="163"/>
    </row>
    <row r="113" spans="1:9" s="162" customFormat="1" ht="39" customHeight="1">
      <c r="A113" s="176"/>
      <c r="B113" s="174">
        <v>42913</v>
      </c>
      <c r="C113" s="216" t="s">
        <v>192</v>
      </c>
      <c r="D113" s="217"/>
      <c r="E113" s="218"/>
      <c r="F113" s="178">
        <v>17685</v>
      </c>
      <c r="H113" s="163"/>
      <c r="I113" s="163"/>
    </row>
    <row r="114" spans="1:9" s="162" customFormat="1" ht="15.75">
      <c r="A114" s="176"/>
      <c r="B114" s="174">
        <v>42958</v>
      </c>
      <c r="C114" s="216" t="s">
        <v>193</v>
      </c>
      <c r="D114" s="217"/>
      <c r="E114" s="218"/>
      <c r="F114" s="178">
        <v>540</v>
      </c>
      <c r="H114" s="163"/>
      <c r="I114" s="163"/>
    </row>
    <row r="115" spans="1:9" s="162" customFormat="1" ht="15" customHeight="1">
      <c r="A115" s="176"/>
      <c r="B115" s="174">
        <v>42886</v>
      </c>
      <c r="C115" s="179" t="s">
        <v>194</v>
      </c>
      <c r="D115" s="180"/>
      <c r="E115" s="181"/>
      <c r="F115" s="176">
        <v>2799</v>
      </c>
      <c r="H115" s="163"/>
      <c r="I115" s="163"/>
    </row>
    <row r="116" spans="1:9" s="162" customFormat="1" ht="15.75">
      <c r="A116" s="176"/>
      <c r="B116" s="174">
        <v>42978</v>
      </c>
      <c r="C116" s="179" t="s">
        <v>194</v>
      </c>
      <c r="D116" s="180"/>
      <c r="E116" s="181"/>
      <c r="F116" s="176">
        <v>2799</v>
      </c>
      <c r="H116" s="163"/>
      <c r="I116" s="163"/>
    </row>
    <row r="117" spans="1:9" s="162" customFormat="1" ht="15.75">
      <c r="A117" s="176"/>
      <c r="B117" s="174">
        <v>42754</v>
      </c>
      <c r="C117" s="226" t="s">
        <v>195</v>
      </c>
      <c r="D117" s="227"/>
      <c r="E117" s="228"/>
      <c r="F117" s="192">
        <f>392.16*3</f>
        <v>1176.48</v>
      </c>
      <c r="H117" s="163"/>
      <c r="I117" s="163"/>
    </row>
    <row r="118" spans="1:9" s="162" customFormat="1" ht="15.75">
      <c r="A118" s="176"/>
      <c r="B118" s="174">
        <v>42803</v>
      </c>
      <c r="C118" s="216" t="s">
        <v>196</v>
      </c>
      <c r="D118" s="217"/>
      <c r="E118" s="218"/>
      <c r="F118" s="192">
        <v>8400</v>
      </c>
      <c r="H118" s="163"/>
      <c r="I118" s="163"/>
    </row>
    <row r="119" spans="1:9" s="162" customFormat="1" ht="15.75">
      <c r="A119" s="176"/>
      <c r="B119" s="174">
        <v>42761</v>
      </c>
      <c r="C119" s="226" t="s">
        <v>197</v>
      </c>
      <c r="D119" s="227"/>
      <c r="E119" s="228"/>
      <c r="F119" s="192">
        <f aca="true" t="shared" si="1" ref="F119:F130">2714*3+236*3</f>
        <v>8850</v>
      </c>
      <c r="H119" s="163"/>
      <c r="I119" s="163"/>
    </row>
    <row r="120" spans="1:9" s="162" customFormat="1" ht="15.75">
      <c r="A120" s="176"/>
      <c r="B120" s="174">
        <v>42786</v>
      </c>
      <c r="C120" s="226" t="s">
        <v>197</v>
      </c>
      <c r="D120" s="227"/>
      <c r="E120" s="228"/>
      <c r="F120" s="192">
        <f t="shared" si="1"/>
        <v>8850</v>
      </c>
      <c r="H120" s="163"/>
      <c r="I120" s="163"/>
    </row>
    <row r="121" spans="1:9" s="162" customFormat="1" ht="15.75">
      <c r="A121" s="176"/>
      <c r="B121" s="174">
        <v>42817</v>
      </c>
      <c r="C121" s="226" t="s">
        <v>197</v>
      </c>
      <c r="D121" s="227"/>
      <c r="E121" s="228"/>
      <c r="F121" s="192">
        <f t="shared" si="1"/>
        <v>8850</v>
      </c>
      <c r="H121" s="163"/>
      <c r="I121" s="163"/>
    </row>
    <row r="122" spans="1:9" s="162" customFormat="1" ht="15.75">
      <c r="A122" s="176"/>
      <c r="B122" s="174">
        <v>42849</v>
      </c>
      <c r="C122" s="226" t="s">
        <v>197</v>
      </c>
      <c r="D122" s="227"/>
      <c r="E122" s="228"/>
      <c r="F122" s="192">
        <f t="shared" si="1"/>
        <v>8850</v>
      </c>
      <c r="H122" s="163"/>
      <c r="I122" s="163"/>
    </row>
    <row r="123" spans="1:9" s="162" customFormat="1" ht="15.75">
      <c r="A123" s="176"/>
      <c r="B123" s="174">
        <v>42878</v>
      </c>
      <c r="C123" s="226" t="s">
        <v>197</v>
      </c>
      <c r="D123" s="227"/>
      <c r="E123" s="228"/>
      <c r="F123" s="192">
        <f t="shared" si="1"/>
        <v>8850</v>
      </c>
      <c r="H123" s="163"/>
      <c r="I123" s="163"/>
    </row>
    <row r="124" spans="1:9" s="162" customFormat="1" ht="15.75">
      <c r="A124" s="176"/>
      <c r="B124" s="174">
        <v>42909</v>
      </c>
      <c r="C124" s="226" t="s">
        <v>197</v>
      </c>
      <c r="D124" s="227"/>
      <c r="E124" s="228"/>
      <c r="F124" s="192">
        <f t="shared" si="1"/>
        <v>8850</v>
      </c>
      <c r="H124" s="163"/>
      <c r="I124" s="163"/>
    </row>
    <row r="125" spans="1:9" s="162" customFormat="1" ht="15.75">
      <c r="A125" s="176"/>
      <c r="B125" s="174">
        <v>42940</v>
      </c>
      <c r="C125" s="226" t="s">
        <v>197</v>
      </c>
      <c r="D125" s="227"/>
      <c r="E125" s="228"/>
      <c r="F125" s="192">
        <f t="shared" si="1"/>
        <v>8850</v>
      </c>
      <c r="H125" s="163"/>
      <c r="I125" s="163"/>
    </row>
    <row r="126" spans="1:9" s="162" customFormat="1" ht="15.75">
      <c r="A126" s="176"/>
      <c r="B126" s="174">
        <v>42970</v>
      </c>
      <c r="C126" s="226" t="s">
        <v>197</v>
      </c>
      <c r="D126" s="227"/>
      <c r="E126" s="228"/>
      <c r="F126" s="192">
        <f t="shared" si="1"/>
        <v>8850</v>
      </c>
      <c r="H126" s="163"/>
      <c r="I126" s="163"/>
    </row>
    <row r="127" spans="1:9" s="162" customFormat="1" ht="15.75">
      <c r="A127" s="176"/>
      <c r="B127" s="174">
        <v>43000</v>
      </c>
      <c r="C127" s="226" t="s">
        <v>197</v>
      </c>
      <c r="D127" s="227"/>
      <c r="E127" s="228"/>
      <c r="F127" s="192">
        <f t="shared" si="1"/>
        <v>8850</v>
      </c>
      <c r="H127" s="163"/>
      <c r="I127" s="163"/>
    </row>
    <row r="128" spans="1:9" s="162" customFormat="1" ht="15.75">
      <c r="A128" s="176"/>
      <c r="B128" s="174">
        <v>43031</v>
      </c>
      <c r="C128" s="226" t="s">
        <v>197</v>
      </c>
      <c r="D128" s="227"/>
      <c r="E128" s="228"/>
      <c r="F128" s="192">
        <f t="shared" si="1"/>
        <v>8850</v>
      </c>
      <c r="H128" s="163"/>
      <c r="I128" s="163"/>
    </row>
    <row r="129" spans="1:9" s="162" customFormat="1" ht="15.75">
      <c r="A129" s="176"/>
      <c r="B129" s="174">
        <v>43061</v>
      </c>
      <c r="C129" s="226" t="s">
        <v>197</v>
      </c>
      <c r="D129" s="227"/>
      <c r="E129" s="228"/>
      <c r="F129" s="192">
        <f t="shared" si="1"/>
        <v>8850</v>
      </c>
      <c r="H129" s="163"/>
      <c r="I129" s="163"/>
    </row>
    <row r="130" spans="1:9" s="162" customFormat="1" ht="15.75">
      <c r="A130" s="176"/>
      <c r="B130" s="174">
        <v>43083</v>
      </c>
      <c r="C130" s="226" t="s">
        <v>197</v>
      </c>
      <c r="D130" s="227"/>
      <c r="E130" s="228"/>
      <c r="F130" s="192">
        <f t="shared" si="1"/>
        <v>8850</v>
      </c>
      <c r="H130" s="163"/>
      <c r="I130" s="163"/>
    </row>
    <row r="131" spans="1:9" s="162" customFormat="1" ht="15.75">
      <c r="A131" s="176"/>
      <c r="B131" s="174">
        <v>42772</v>
      </c>
      <c r="C131" s="226" t="s">
        <v>198</v>
      </c>
      <c r="D131" s="227"/>
      <c r="E131" s="228"/>
      <c r="F131" s="190">
        <v>690</v>
      </c>
      <c r="H131" s="163"/>
      <c r="I131" s="163"/>
    </row>
    <row r="132" spans="1:9" s="162" customFormat="1" ht="15.75">
      <c r="A132" s="176"/>
      <c r="B132" s="174">
        <v>42874</v>
      </c>
      <c r="C132" s="226" t="s">
        <v>199</v>
      </c>
      <c r="D132" s="227"/>
      <c r="E132" s="228"/>
      <c r="F132" s="190">
        <v>966</v>
      </c>
      <c r="H132" s="163"/>
      <c r="I132" s="163"/>
    </row>
    <row r="133" spans="1:9" s="162" customFormat="1" ht="15.75">
      <c r="A133" s="176"/>
      <c r="B133" s="174">
        <v>42874</v>
      </c>
      <c r="C133" s="226" t="s">
        <v>200</v>
      </c>
      <c r="D133" s="227"/>
      <c r="E133" s="228"/>
      <c r="F133" s="190">
        <v>1380</v>
      </c>
      <c r="H133" s="163"/>
      <c r="I133" s="163"/>
    </row>
    <row r="134" spans="1:9" s="162" customFormat="1" ht="15.75">
      <c r="A134" s="176"/>
      <c r="B134" s="174">
        <v>43017</v>
      </c>
      <c r="C134" s="226" t="s">
        <v>201</v>
      </c>
      <c r="D134" s="227"/>
      <c r="E134" s="228"/>
      <c r="F134" s="190">
        <v>690</v>
      </c>
      <c r="H134" s="163"/>
      <c r="I134" s="163"/>
    </row>
    <row r="135" spans="1:9" s="162" customFormat="1" ht="15.75">
      <c r="A135" s="176"/>
      <c r="B135" s="174">
        <v>42815</v>
      </c>
      <c r="C135" s="226" t="s">
        <v>202</v>
      </c>
      <c r="D135" s="227"/>
      <c r="E135" s="228"/>
      <c r="F135" s="178">
        <f>1500*1</f>
        <v>1500</v>
      </c>
      <c r="H135" s="163"/>
      <c r="I135" s="163"/>
    </row>
    <row r="136" spans="1:9" s="162" customFormat="1" ht="15.75">
      <c r="A136" s="176"/>
      <c r="B136" s="174">
        <v>42783</v>
      </c>
      <c r="C136" s="226" t="s">
        <v>203</v>
      </c>
      <c r="D136" s="227"/>
      <c r="E136" s="228"/>
      <c r="F136" s="176">
        <v>17831.69</v>
      </c>
      <c r="H136" s="163"/>
      <c r="I136" s="163"/>
    </row>
    <row r="137" spans="1:9" s="162" customFormat="1" ht="15.75">
      <c r="A137" s="176"/>
      <c r="B137" s="174">
        <v>42955</v>
      </c>
      <c r="C137" s="226" t="s">
        <v>204</v>
      </c>
      <c r="D137" s="227"/>
      <c r="E137" s="228"/>
      <c r="F137" s="176">
        <v>500</v>
      </c>
      <c r="H137" s="163"/>
      <c r="I137" s="163"/>
    </row>
    <row r="138" spans="1:9" s="162" customFormat="1" ht="15.75">
      <c r="A138" s="176"/>
      <c r="B138" s="174">
        <v>42959</v>
      </c>
      <c r="C138" s="226" t="s">
        <v>205</v>
      </c>
      <c r="D138" s="227"/>
      <c r="E138" s="228"/>
      <c r="F138" s="176">
        <v>1500</v>
      </c>
      <c r="H138" s="163"/>
      <c r="I138" s="163"/>
    </row>
    <row r="139" spans="1:9" s="162" customFormat="1" ht="15.75" customHeight="1">
      <c r="A139" s="176"/>
      <c r="B139" s="174"/>
      <c r="C139" s="311" t="s">
        <v>209</v>
      </c>
      <c r="D139" s="312"/>
      <c r="E139" s="313"/>
      <c r="F139" s="196">
        <v>6600</v>
      </c>
      <c r="H139" s="163"/>
      <c r="I139" s="163"/>
    </row>
    <row r="140" spans="1:6" ht="12.75" customHeight="1">
      <c r="A140" s="176"/>
      <c r="B140" s="176"/>
      <c r="C140" s="182"/>
      <c r="D140" s="183"/>
      <c r="E140" s="184"/>
      <c r="F140" s="176"/>
    </row>
    <row r="141" spans="1:6" ht="12.75" customHeight="1">
      <c r="A141" s="167"/>
      <c r="B141" s="185"/>
      <c r="C141" s="219"/>
      <c r="D141" s="220"/>
      <c r="E141" s="221"/>
      <c r="F141" s="186"/>
    </row>
    <row r="142" spans="1:6" ht="12.75" customHeight="1">
      <c r="A142" s="222" t="s">
        <v>21</v>
      </c>
      <c r="B142" s="222"/>
      <c r="C142" s="222"/>
      <c r="D142" s="222"/>
      <c r="E142" s="222"/>
      <c r="F142" s="164">
        <f>SUM(F58:F141)</f>
        <v>261675.16999999998</v>
      </c>
    </row>
    <row r="143" spans="1:6" ht="12.75" customHeight="1">
      <c r="A143"/>
      <c r="B143"/>
      <c r="C143"/>
      <c r="D143"/>
      <c r="E143"/>
      <c r="F143"/>
    </row>
    <row r="144" spans="1:6" ht="12.75" customHeight="1">
      <c r="A144"/>
      <c r="B144"/>
      <c r="C144"/>
      <c r="D144"/>
      <c r="E144"/>
      <c r="F144"/>
    </row>
    <row r="145" spans="1:6" ht="12.75" customHeight="1">
      <c r="A145" s="187"/>
      <c r="B145" s="188"/>
      <c r="C145" s="189"/>
      <c r="D145" s="189"/>
      <c r="E145" s="189"/>
      <c r="F145" s="187"/>
    </row>
    <row r="146" spans="1:6" ht="12.75" customHeight="1">
      <c r="A146" s="187"/>
      <c r="B146" s="188"/>
      <c r="C146" s="189"/>
      <c r="D146" s="189"/>
      <c r="E146" s="189"/>
      <c r="F146" s="187"/>
    </row>
    <row r="147" spans="1:6" ht="12.75" customHeight="1">
      <c r="A147"/>
      <c r="B147"/>
      <c r="C147"/>
      <c r="D147"/>
      <c r="E147"/>
      <c r="F147"/>
    </row>
    <row r="148" spans="1:6" ht="12.75" customHeight="1">
      <c r="A148" s="187"/>
      <c r="B148" s="188"/>
      <c r="C148" s="189"/>
      <c r="D148" s="189"/>
      <c r="E148" s="189"/>
      <c r="F148" s="187"/>
    </row>
    <row r="149" spans="1:6" ht="12.75" customHeight="1">
      <c r="A149"/>
      <c r="B149"/>
      <c r="C149"/>
      <c r="D149"/>
      <c r="E149"/>
      <c r="F149"/>
    </row>
    <row r="150" spans="1:6" ht="12.75" customHeight="1">
      <c r="A150"/>
      <c r="B150"/>
      <c r="C150"/>
      <c r="D150"/>
      <c r="E150"/>
      <c r="F150"/>
    </row>
    <row r="151" spans="1:6" ht="12.75" customHeight="1">
      <c r="A151"/>
      <c r="B151"/>
      <c r="C151"/>
      <c r="D151"/>
      <c r="E151"/>
      <c r="F151"/>
    </row>
    <row r="152" spans="1:6" ht="12.75" customHeight="1">
      <c r="A152"/>
      <c r="B152"/>
      <c r="C152"/>
      <c r="D152"/>
      <c r="E152"/>
      <c r="F152"/>
    </row>
    <row r="153" spans="1:6" ht="12.75" customHeight="1">
      <c r="A153"/>
      <c r="B153"/>
      <c r="C153"/>
      <c r="D153"/>
      <c r="E153"/>
      <c r="F153"/>
    </row>
    <row r="154" spans="1:6" ht="12.75" customHeight="1">
      <c r="A154"/>
      <c r="B154"/>
      <c r="C154"/>
      <c r="D154"/>
      <c r="E154"/>
      <c r="F154"/>
    </row>
    <row r="155" spans="1:6" ht="12.75" customHeight="1">
      <c r="A155"/>
      <c r="B155"/>
      <c r="C155"/>
      <c r="D155"/>
      <c r="E155"/>
      <c r="F155"/>
    </row>
    <row r="156" spans="1:6" ht="12.75" customHeight="1">
      <c r="A156"/>
      <c r="B156"/>
      <c r="C156"/>
      <c r="D156"/>
      <c r="E156"/>
      <c r="F156"/>
    </row>
    <row r="157" spans="1:6" ht="12.75" customHeight="1">
      <c r="A157"/>
      <c r="B157"/>
      <c r="C157"/>
      <c r="D157"/>
      <c r="E157"/>
      <c r="F157"/>
    </row>
  </sheetData>
  <sheetProtection/>
  <mergeCells count="115">
    <mergeCell ref="C139:E139"/>
    <mergeCell ref="C134:E134"/>
    <mergeCell ref="C135:E135"/>
    <mergeCell ref="C136:E136"/>
    <mergeCell ref="C137:E137"/>
    <mergeCell ref="C138:E138"/>
    <mergeCell ref="B48:E48"/>
    <mergeCell ref="C128:E128"/>
    <mergeCell ref="C129:E129"/>
    <mergeCell ref="C130:E130"/>
    <mergeCell ref="C131:E131"/>
    <mergeCell ref="C104:E104"/>
    <mergeCell ref="C105:E105"/>
    <mergeCell ref="C132:E132"/>
    <mergeCell ref="C133:E133"/>
    <mergeCell ref="C122:E122"/>
    <mergeCell ref="C123:E123"/>
    <mergeCell ref="C124:E124"/>
    <mergeCell ref="C125:E125"/>
    <mergeCell ref="C126:E126"/>
    <mergeCell ref="C127:E127"/>
    <mergeCell ref="C117:E117"/>
    <mergeCell ref="C118:E118"/>
    <mergeCell ref="C119:E119"/>
    <mergeCell ref="C120:E120"/>
    <mergeCell ref="C121:E121"/>
    <mergeCell ref="C114:E114"/>
    <mergeCell ref="C141:E141"/>
    <mergeCell ref="A142:E142"/>
    <mergeCell ref="B45:E45"/>
    <mergeCell ref="B46:E46"/>
    <mergeCell ref="B47:E47"/>
    <mergeCell ref="C109:E109"/>
    <mergeCell ref="C110:E110"/>
    <mergeCell ref="C111:E111"/>
    <mergeCell ref="C112:E112"/>
    <mergeCell ref="C113:E113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03:E103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A52:E52"/>
    <mergeCell ref="A53:E53"/>
    <mergeCell ref="A54:E54"/>
    <mergeCell ref="C57:E57"/>
    <mergeCell ref="C59:E59"/>
    <mergeCell ref="C60:E60"/>
    <mergeCell ref="C58:E58"/>
    <mergeCell ref="B40:E40"/>
    <mergeCell ref="B41:E41"/>
    <mergeCell ref="B42:E42"/>
    <mergeCell ref="B43:E43"/>
    <mergeCell ref="B44:E44"/>
    <mergeCell ref="B50:E50"/>
    <mergeCell ref="B49:E49"/>
    <mergeCell ref="B34:E34"/>
    <mergeCell ref="B35:E35"/>
    <mergeCell ref="B36:E36"/>
    <mergeCell ref="B37:E37"/>
    <mergeCell ref="B38:E38"/>
    <mergeCell ref="B39:E39"/>
    <mergeCell ref="A27:F27"/>
    <mergeCell ref="B29:E29"/>
    <mergeCell ref="B30:E30"/>
    <mergeCell ref="B31:E31"/>
    <mergeCell ref="B32:E32"/>
    <mergeCell ref="B33:E33"/>
    <mergeCell ref="A1:F1"/>
    <mergeCell ref="A2:F2"/>
    <mergeCell ref="A23:F23"/>
    <mergeCell ref="C24:E24"/>
    <mergeCell ref="C25:E25"/>
    <mergeCell ref="A26:F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7"/>
  <sheetViews>
    <sheetView view="pageBreakPreview" zoomScale="85" zoomScaleSheetLayoutView="85" zoomScalePageLayoutView="0" workbookViewId="0" topLeftCell="A1">
      <selection activeCell="F11" sqref="F11:F16"/>
    </sheetView>
  </sheetViews>
  <sheetFormatPr defaultColWidth="9.140625" defaultRowHeight="12.75" outlineLevelRow="1"/>
  <cols>
    <col min="1" max="1" width="4.421875" style="106" customWidth="1"/>
    <col min="2" max="2" width="15.140625" style="103" customWidth="1"/>
    <col min="3" max="3" width="19.8515625" style="103" customWidth="1"/>
    <col min="4" max="4" width="13.57421875" style="103" customWidth="1"/>
    <col min="5" max="5" width="14.00390625" style="103" customWidth="1"/>
    <col min="6" max="6" width="18.140625" style="103" customWidth="1"/>
    <col min="7" max="7" width="11.7109375" style="103" customWidth="1"/>
    <col min="8" max="8" width="11.28125" style="106" customWidth="1"/>
    <col min="9" max="9" width="12.28125" style="106" customWidth="1"/>
    <col min="10" max="10" width="11.00390625" style="103" customWidth="1"/>
    <col min="11" max="16384" width="9.140625" style="103" customWidth="1"/>
  </cols>
  <sheetData>
    <row r="1" spans="1:7" ht="15.75">
      <c r="A1" s="197" t="s">
        <v>113</v>
      </c>
      <c r="B1" s="197"/>
      <c r="C1" s="197"/>
      <c r="D1" s="197"/>
      <c r="E1" s="197"/>
      <c r="F1" s="197"/>
      <c r="G1" s="102"/>
    </row>
    <row r="2" spans="1:6" ht="15.75">
      <c r="A2" s="197" t="s">
        <v>31</v>
      </c>
      <c r="B2" s="197"/>
      <c r="C2" s="197"/>
      <c r="D2" s="197"/>
      <c r="E2" s="197"/>
      <c r="F2" s="197"/>
    </row>
    <row r="3" ht="9" customHeight="1"/>
    <row r="4" spans="2:8" ht="15.75" hidden="1" outlineLevel="1">
      <c r="B4" s="107" t="s">
        <v>92</v>
      </c>
      <c r="C4" s="107"/>
      <c r="D4" s="107"/>
      <c r="E4" s="107"/>
      <c r="F4" s="107"/>
      <c r="H4" s="106" t="s">
        <v>103</v>
      </c>
    </row>
    <row r="5" spans="2:8" ht="15.75" hidden="1" outlineLevel="1">
      <c r="B5" s="107" t="s">
        <v>22</v>
      </c>
      <c r="C5" s="107"/>
      <c r="D5" s="107">
        <v>5315.8</v>
      </c>
      <c r="E5" s="107" t="s">
        <v>23</v>
      </c>
      <c r="F5" s="107"/>
      <c r="H5" s="106" t="s">
        <v>104</v>
      </c>
    </row>
    <row r="6" ht="9" customHeight="1" collapsed="1"/>
    <row r="7" spans="2:6" ht="18.75" customHeight="1">
      <c r="B7" s="104" t="s">
        <v>114</v>
      </c>
      <c r="C7" s="104"/>
      <c r="D7" s="108">
        <f>'2015 (с марта)'!F43</f>
        <v>424146.08399999986</v>
      </c>
      <c r="E7" s="104" t="s">
        <v>15</v>
      </c>
      <c r="F7" s="104"/>
    </row>
    <row r="8" spans="2:6" ht="19.5" customHeight="1">
      <c r="B8" s="104" t="s">
        <v>115</v>
      </c>
      <c r="C8" s="107"/>
      <c r="D8" s="109">
        <f>C17</f>
        <v>-96094.96000000002</v>
      </c>
      <c r="E8" s="107" t="s">
        <v>57</v>
      </c>
      <c r="F8" s="107"/>
    </row>
    <row r="9" spans="2:6" ht="15.75">
      <c r="B9" s="107"/>
      <c r="C9" s="107"/>
      <c r="D9" s="107"/>
      <c r="E9" s="107"/>
      <c r="F9" s="110" t="s">
        <v>15</v>
      </c>
    </row>
    <row r="10" spans="1:6" s="106" customFormat="1" ht="28.5" customHeight="1">
      <c r="A10" s="111" t="s">
        <v>19</v>
      </c>
      <c r="B10" s="112" t="s">
        <v>37</v>
      </c>
      <c r="C10" s="113" t="s">
        <v>116</v>
      </c>
      <c r="D10" s="113" t="s">
        <v>0</v>
      </c>
      <c r="E10" s="113" t="s">
        <v>14</v>
      </c>
      <c r="F10" s="113" t="s">
        <v>117</v>
      </c>
    </row>
    <row r="11" spans="1:9" s="117" customFormat="1" ht="30" customHeight="1">
      <c r="A11" s="111">
        <v>1</v>
      </c>
      <c r="B11" s="114" t="s">
        <v>24</v>
      </c>
      <c r="C11" s="115">
        <f>'2015 (с марта)'!F12</f>
        <v>-63359.96000000002</v>
      </c>
      <c r="D11" s="115">
        <f>443190.55+40290.05-35071.35+33649.88</f>
        <v>482059.13</v>
      </c>
      <c r="E11" s="115">
        <v>471479.16</v>
      </c>
      <c r="F11" s="115">
        <f aca="true" t="shared" si="0" ref="F11:F16">C11-D11+E11</f>
        <v>-73939.93000000011</v>
      </c>
      <c r="G11" s="104" t="s">
        <v>66</v>
      </c>
      <c r="H11" s="105">
        <v>7.68</v>
      </c>
      <c r="I11" s="126">
        <f>H11*10*H25</f>
        <v>408253.44</v>
      </c>
    </row>
    <row r="12" spans="1:9" s="117" customFormat="1" ht="30" customHeight="1">
      <c r="A12" s="111">
        <v>2</v>
      </c>
      <c r="B12" s="114" t="s">
        <v>25</v>
      </c>
      <c r="C12" s="115">
        <f>'2015 (с марта)'!F13</f>
        <v>-6572.739999999998</v>
      </c>
      <c r="D12" s="115">
        <f>46195.15-3585.94+4199.61+3461.52</f>
        <v>50270.34</v>
      </c>
      <c r="E12" s="115">
        <f>49181.95</f>
        <v>49181.95</v>
      </c>
      <c r="F12" s="115">
        <f t="shared" si="0"/>
        <v>-7661.129999999997</v>
      </c>
      <c r="G12" s="103" t="s">
        <v>67</v>
      </c>
      <c r="H12" s="106">
        <v>2.69</v>
      </c>
      <c r="I12" s="126">
        <f>H12*12*H25</f>
        <v>171594.024</v>
      </c>
    </row>
    <row r="13" spans="1:9" s="117" customFormat="1" ht="33" customHeight="1">
      <c r="A13" s="111">
        <v>3</v>
      </c>
      <c r="B13" s="114" t="s">
        <v>26</v>
      </c>
      <c r="C13" s="115">
        <f>'2015 (с марта)'!F14</f>
        <v>-11564.349999999999</v>
      </c>
      <c r="D13" s="115">
        <f>81278.59-6309.24+7388.95+6090.32</f>
        <v>88448.62</v>
      </c>
      <c r="E13" s="115">
        <v>86533.7</v>
      </c>
      <c r="F13" s="115">
        <f t="shared" si="0"/>
        <v>-13479.270000000004</v>
      </c>
      <c r="G13" s="107" t="s">
        <v>68</v>
      </c>
      <c r="H13" s="106">
        <f>1.94</f>
        <v>1.94</v>
      </c>
      <c r="I13" s="126">
        <f>H13*12*H25</f>
        <v>123751.82400000001</v>
      </c>
    </row>
    <row r="14" spans="1:9" s="117" customFormat="1" ht="32.25" customHeight="1">
      <c r="A14" s="111">
        <v>4</v>
      </c>
      <c r="B14" s="114" t="s">
        <v>93</v>
      </c>
      <c r="C14" s="115">
        <f>'2015 (с марта)'!F15</f>
        <v>-6762.130000000001</v>
      </c>
      <c r="D14" s="115">
        <f>23285.14-1941.49+1799.61</f>
        <v>23143.26</v>
      </c>
      <c r="E14" s="115">
        <v>28105.78</v>
      </c>
      <c r="F14" s="115">
        <f t="shared" si="0"/>
        <v>-1799.6100000000006</v>
      </c>
      <c r="G14" s="107" t="s">
        <v>69</v>
      </c>
      <c r="H14" s="106">
        <v>1.39</v>
      </c>
      <c r="I14" s="126">
        <f>H14*12*H25</f>
        <v>88667.544</v>
      </c>
    </row>
    <row r="15" spans="1:9" s="117" customFormat="1" ht="31.5" customHeight="1">
      <c r="A15" s="111">
        <v>5</v>
      </c>
      <c r="B15" s="114" t="s">
        <v>28</v>
      </c>
      <c r="C15" s="115">
        <f>'2015 (с марта)'!F16</f>
        <v>7638.899999999994</v>
      </c>
      <c r="D15" s="115">
        <f>10694.46-9166.68</f>
        <v>1527.7799999999988</v>
      </c>
      <c r="E15" s="115">
        <v>3055.56</v>
      </c>
      <c r="F15" s="115">
        <f t="shared" si="0"/>
        <v>9166.679999999995</v>
      </c>
      <c r="G15" s="116"/>
      <c r="H15" s="127"/>
      <c r="I15" s="126"/>
    </row>
    <row r="16" spans="1:9" s="117" customFormat="1" ht="30" customHeight="1">
      <c r="A16" s="111">
        <v>6</v>
      </c>
      <c r="B16" s="114" t="s">
        <v>29</v>
      </c>
      <c r="C16" s="115">
        <f>'2015 (с марта)'!F17</f>
        <v>-15474.679999999993</v>
      </c>
      <c r="D16" s="115">
        <f>108761.29-8442.59+9887.39+8149.65</f>
        <v>118355.73999999999</v>
      </c>
      <c r="E16" s="115">
        <v>115793.38</v>
      </c>
      <c r="F16" s="115">
        <f t="shared" si="0"/>
        <v>-18037.03999999998</v>
      </c>
      <c r="G16" s="116"/>
      <c r="H16" s="127"/>
      <c r="I16" s="128"/>
    </row>
    <row r="17" spans="1:9" ht="26.25" customHeight="1">
      <c r="A17" s="111"/>
      <c r="B17" s="114" t="s">
        <v>1</v>
      </c>
      <c r="C17" s="115">
        <f>SUM(C11:C16)</f>
        <v>-96094.96000000002</v>
      </c>
      <c r="D17" s="115">
        <f>SUM(D11:D16)</f>
        <v>763804.87</v>
      </c>
      <c r="E17" s="115">
        <f>SUM(E11:E16)</f>
        <v>754149.53</v>
      </c>
      <c r="F17" s="115">
        <f>SUM(F11:F16)</f>
        <v>-105750.3000000001</v>
      </c>
      <c r="I17" s="106" t="s">
        <v>105</v>
      </c>
    </row>
    <row r="18" ht="11.25" customHeight="1"/>
    <row r="19" spans="1:6" ht="15.75">
      <c r="A19" s="197" t="s">
        <v>106</v>
      </c>
      <c r="B19" s="197"/>
      <c r="C19" s="197"/>
      <c r="D19" s="197"/>
      <c r="E19" s="197"/>
      <c r="F19" s="197"/>
    </row>
    <row r="20" spans="1:6" ht="15.75">
      <c r="A20" s="111" t="s">
        <v>19</v>
      </c>
      <c r="B20" s="112" t="s">
        <v>108</v>
      </c>
      <c r="C20" s="198" t="s">
        <v>109</v>
      </c>
      <c r="D20" s="198"/>
      <c r="E20" s="198"/>
      <c r="F20" s="111" t="s">
        <v>107</v>
      </c>
    </row>
    <row r="21" spans="1:7" ht="15.75">
      <c r="A21" s="111">
        <v>1</v>
      </c>
      <c r="B21" s="112" t="s">
        <v>110</v>
      </c>
      <c r="C21" s="199" t="s">
        <v>111</v>
      </c>
      <c r="D21" s="199"/>
      <c r="E21" s="199"/>
      <c r="F21" s="111">
        <f>300*12</f>
        <v>3600</v>
      </c>
      <c r="G21" s="103" t="s">
        <v>112</v>
      </c>
    </row>
    <row r="22" spans="1:6" ht="15.75">
      <c r="A22" s="197"/>
      <c r="B22" s="197"/>
      <c r="C22" s="197"/>
      <c r="D22" s="197"/>
      <c r="E22" s="197"/>
      <c r="F22" s="197"/>
    </row>
    <row r="23" spans="1:6" ht="15.75">
      <c r="A23" s="197" t="s">
        <v>20</v>
      </c>
      <c r="B23" s="197"/>
      <c r="C23" s="197"/>
      <c r="D23" s="197"/>
      <c r="E23" s="197"/>
      <c r="F23" s="197"/>
    </row>
    <row r="24" spans="1:8" ht="15.75">
      <c r="A24" s="102"/>
      <c r="B24" s="102"/>
      <c r="C24" s="102"/>
      <c r="D24" s="102"/>
      <c r="E24" s="102"/>
      <c r="F24" s="102"/>
      <c r="H24" s="106" t="s">
        <v>30</v>
      </c>
    </row>
    <row r="25" spans="1:8" ht="33" customHeight="1">
      <c r="A25" s="113" t="s">
        <v>84</v>
      </c>
      <c r="B25" s="200" t="s">
        <v>2</v>
      </c>
      <c r="C25" s="200"/>
      <c r="D25" s="200"/>
      <c r="E25" s="200"/>
      <c r="F25" s="118" t="s">
        <v>3</v>
      </c>
      <c r="G25" s="119"/>
      <c r="H25" s="106">
        <v>5315.8</v>
      </c>
    </row>
    <row r="26" spans="1:10" ht="18" customHeight="1">
      <c r="A26" s="138">
        <v>1</v>
      </c>
      <c r="B26" s="201" t="s">
        <v>4</v>
      </c>
      <c r="C26" s="201"/>
      <c r="D26" s="201"/>
      <c r="E26" s="201"/>
      <c r="F26" s="139">
        <f>I12</f>
        <v>171594.024</v>
      </c>
      <c r="G26" s="107"/>
      <c r="H26" s="106" t="s">
        <v>32</v>
      </c>
      <c r="I26" s="111" t="s">
        <v>33</v>
      </c>
      <c r="J26" s="112" t="s">
        <v>34</v>
      </c>
    </row>
    <row r="27" spans="1:10" ht="18" customHeight="1">
      <c r="A27" s="140">
        <v>2</v>
      </c>
      <c r="B27" s="202" t="s">
        <v>5</v>
      </c>
      <c r="C27" s="202"/>
      <c r="D27" s="202"/>
      <c r="E27" s="202"/>
      <c r="F27" s="141">
        <f>0.22*6*H25+0.21*6*H25</f>
        <v>13714.764000000001</v>
      </c>
      <c r="G27" s="107"/>
      <c r="I27" s="115">
        <v>5435</v>
      </c>
      <c r="J27" s="124">
        <v>5707</v>
      </c>
    </row>
    <row r="28" spans="1:10" ht="18" customHeight="1">
      <c r="A28" s="140">
        <v>3</v>
      </c>
      <c r="B28" s="202" t="s">
        <v>35</v>
      </c>
      <c r="C28" s="202"/>
      <c r="D28" s="202"/>
      <c r="E28" s="202"/>
      <c r="F28" s="141">
        <f>I13</f>
        <v>123751.82400000001</v>
      </c>
      <c r="I28" s="115">
        <f>I27*12</f>
        <v>65220</v>
      </c>
      <c r="J28" s="124">
        <f>J27*12</f>
        <v>68484</v>
      </c>
    </row>
    <row r="29" spans="1:10" ht="18" customHeight="1">
      <c r="A29" s="140">
        <v>4</v>
      </c>
      <c r="B29" s="202" t="s">
        <v>36</v>
      </c>
      <c r="C29" s="202"/>
      <c r="D29" s="202"/>
      <c r="E29" s="202"/>
      <c r="F29" s="141">
        <f>I14</f>
        <v>88667.544</v>
      </c>
      <c r="I29" s="158"/>
      <c r="J29" s="109"/>
    </row>
    <row r="30" spans="1:10" ht="18" customHeight="1">
      <c r="A30" s="140">
        <v>5</v>
      </c>
      <c r="B30" s="202" t="s">
        <v>6</v>
      </c>
      <c r="C30" s="202"/>
      <c r="D30" s="202"/>
      <c r="E30" s="202"/>
      <c r="F30" s="141">
        <f>F31+F32+F35+F33+F34</f>
        <v>102270.66</v>
      </c>
      <c r="G30" s="125">
        <f>F107</f>
        <v>110070.66</v>
      </c>
      <c r="I30" s="158"/>
      <c r="J30" s="109"/>
    </row>
    <row r="31" spans="1:10" ht="16.5" customHeight="1">
      <c r="A31" s="140" t="s">
        <v>7</v>
      </c>
      <c r="B31" s="202" t="s">
        <v>11</v>
      </c>
      <c r="C31" s="202"/>
      <c r="D31" s="202"/>
      <c r="E31" s="202"/>
      <c r="F31" s="141">
        <f>F50+F53+F54+F55+F56+F60+F69+F70+F75+F76+F83+F86+F88+F90+F92+F97+F102</f>
        <v>20604</v>
      </c>
      <c r="I31" s="158"/>
      <c r="J31" s="109"/>
    </row>
    <row r="32" spans="1:10" ht="16.5" customHeight="1">
      <c r="A32" s="140" t="s">
        <v>7</v>
      </c>
      <c r="B32" s="202" t="s">
        <v>12</v>
      </c>
      <c r="C32" s="202"/>
      <c r="D32" s="202"/>
      <c r="E32" s="202"/>
      <c r="F32" s="141">
        <f>F51+F52+F57+F59+F61+F62+F63+F64+F65+F68+F71+F73+F74+F77+F80+F82+F85+F94+F95+F96+F99+F101+F103+F105</f>
        <v>35661</v>
      </c>
      <c r="G32" s="107"/>
      <c r="I32" s="158"/>
      <c r="J32" s="109"/>
    </row>
    <row r="33" spans="1:7" ht="16.5" customHeight="1">
      <c r="A33" s="140" t="s">
        <v>7</v>
      </c>
      <c r="B33" s="202" t="s">
        <v>13</v>
      </c>
      <c r="C33" s="202"/>
      <c r="D33" s="202"/>
      <c r="E33" s="202"/>
      <c r="F33" s="141">
        <f>F58+F66+F67+F79+F84+F87+F98+F100+F104+F81</f>
        <v>39135.66</v>
      </c>
      <c r="G33" s="107"/>
    </row>
    <row r="34" spans="1:7" ht="16.5" customHeight="1">
      <c r="A34" s="140" t="s">
        <v>7</v>
      </c>
      <c r="B34" s="202" t="s">
        <v>154</v>
      </c>
      <c r="C34" s="202"/>
      <c r="D34" s="202"/>
      <c r="E34" s="202"/>
      <c r="F34" s="141">
        <f>F72+F89+F91+F93+F106</f>
        <v>4830</v>
      </c>
      <c r="G34" s="107"/>
    </row>
    <row r="35" spans="1:7" ht="16.5" customHeight="1">
      <c r="A35" s="140" t="s">
        <v>7</v>
      </c>
      <c r="B35" s="203" t="s">
        <v>95</v>
      </c>
      <c r="C35" s="203"/>
      <c r="D35" s="203"/>
      <c r="E35" s="203"/>
      <c r="F35" s="141">
        <f>F49</f>
        <v>2040</v>
      </c>
      <c r="G35" s="107"/>
    </row>
    <row r="36" spans="1:7" ht="17.25" customHeight="1">
      <c r="A36" s="140">
        <v>6</v>
      </c>
      <c r="B36" s="204" t="s">
        <v>25</v>
      </c>
      <c r="C36" s="204"/>
      <c r="D36" s="204"/>
      <c r="E36" s="204"/>
      <c r="F36" s="141">
        <f>D12</f>
        <v>50270.34</v>
      </c>
      <c r="G36" s="107"/>
    </row>
    <row r="37" spans="1:7" ht="17.25" customHeight="1">
      <c r="A37" s="140">
        <v>7</v>
      </c>
      <c r="B37" s="204" t="s">
        <v>27</v>
      </c>
      <c r="C37" s="204"/>
      <c r="D37" s="204"/>
      <c r="E37" s="204"/>
      <c r="F37" s="141">
        <f>D14</f>
        <v>23143.26</v>
      </c>
      <c r="G37" s="107"/>
    </row>
    <row r="38" spans="1:7" ht="17.25" customHeight="1">
      <c r="A38" s="140">
        <v>8</v>
      </c>
      <c r="B38" s="204" t="s">
        <v>53</v>
      </c>
      <c r="C38" s="204"/>
      <c r="D38" s="204"/>
      <c r="E38" s="204"/>
      <c r="F38" s="141">
        <f>D15</f>
        <v>1527.7799999999988</v>
      </c>
      <c r="G38" s="107"/>
    </row>
    <row r="39" spans="1:7" ht="17.25" customHeight="1">
      <c r="A39" s="140">
        <v>9</v>
      </c>
      <c r="B39" s="204" t="s">
        <v>153</v>
      </c>
      <c r="C39" s="204"/>
      <c r="D39" s="204"/>
      <c r="E39" s="204"/>
      <c r="F39" s="141">
        <f>D16+G39</f>
        <v>126155.73999999999</v>
      </c>
      <c r="G39" s="109">
        <f>F78</f>
        <v>7800</v>
      </c>
    </row>
    <row r="40" spans="1:7" ht="17.25" customHeight="1">
      <c r="A40" s="140">
        <v>10</v>
      </c>
      <c r="B40" s="205" t="s">
        <v>102</v>
      </c>
      <c r="C40" s="206"/>
      <c r="D40" s="206"/>
      <c r="E40" s="207"/>
      <c r="F40" s="141">
        <v>2162.5</v>
      </c>
      <c r="G40" s="107"/>
    </row>
    <row r="41" spans="1:9" s="120" customFormat="1" ht="21" customHeight="1">
      <c r="A41" s="142"/>
      <c r="B41" s="208" t="s">
        <v>8</v>
      </c>
      <c r="C41" s="208"/>
      <c r="D41" s="208"/>
      <c r="E41" s="208"/>
      <c r="F41" s="143">
        <f>F26+F27+F28+F30+F39+F29+F36+F37+F38+F40</f>
        <v>703258.436</v>
      </c>
      <c r="G41" s="104"/>
      <c r="H41" s="105"/>
      <c r="I41" s="105"/>
    </row>
    <row r="43" spans="1:6" ht="18" customHeight="1">
      <c r="A43" s="210" t="s">
        <v>118</v>
      </c>
      <c r="B43" s="210"/>
      <c r="C43" s="210"/>
      <c r="D43" s="210"/>
      <c r="E43" s="210"/>
      <c r="F43" s="121">
        <f>D17-F41+D7+F21</f>
        <v>488292.51799999987</v>
      </c>
    </row>
    <row r="44" spans="1:6" ht="20.25" customHeight="1">
      <c r="A44" s="211" t="s">
        <v>119</v>
      </c>
      <c r="B44" s="211"/>
      <c r="C44" s="211"/>
      <c r="D44" s="211"/>
      <c r="E44" s="211"/>
      <c r="F44" s="121">
        <f>F17</f>
        <v>-105750.3000000001</v>
      </c>
    </row>
    <row r="45" spans="1:6" ht="18" customHeight="1">
      <c r="A45" s="212" t="s">
        <v>82</v>
      </c>
      <c r="B45" s="212"/>
      <c r="C45" s="212"/>
      <c r="D45" s="212"/>
      <c r="E45" s="212"/>
      <c r="F45" s="121">
        <f>F43+F44</f>
        <v>382542.21799999976</v>
      </c>
    </row>
    <row r="46" ht="11.25" customHeight="1"/>
    <row r="48" spans="1:6" ht="15.75">
      <c r="A48" s="122" t="s">
        <v>19</v>
      </c>
      <c r="B48" s="122" t="s">
        <v>10</v>
      </c>
      <c r="C48" s="236" t="s">
        <v>17</v>
      </c>
      <c r="D48" s="237"/>
      <c r="E48" s="238"/>
      <c r="F48" s="122" t="s">
        <v>18</v>
      </c>
    </row>
    <row r="49" spans="1:9" s="94" customFormat="1" ht="15">
      <c r="A49" s="49">
        <v>1</v>
      </c>
      <c r="B49" s="50" t="s">
        <v>85</v>
      </c>
      <c r="C49" s="239" t="s">
        <v>95</v>
      </c>
      <c r="D49" s="240"/>
      <c r="E49" s="241"/>
      <c r="F49" s="51">
        <f>12*170</f>
        <v>2040</v>
      </c>
      <c r="H49" s="129"/>
      <c r="I49" s="129"/>
    </row>
    <row r="50" spans="1:9" s="95" customFormat="1" ht="27.75" customHeight="1">
      <c r="A50" s="144">
        <v>2</v>
      </c>
      <c r="B50" s="145">
        <v>42383</v>
      </c>
      <c r="C50" s="232" t="s">
        <v>120</v>
      </c>
      <c r="D50" s="233"/>
      <c r="E50" s="234"/>
      <c r="F50" s="150">
        <v>654</v>
      </c>
      <c r="H50" s="130"/>
      <c r="I50" s="130"/>
    </row>
    <row r="51" spans="1:9" s="95" customFormat="1" ht="15">
      <c r="A51" s="144">
        <v>3</v>
      </c>
      <c r="B51" s="80">
        <v>42388</v>
      </c>
      <c r="C51" s="229" t="s">
        <v>121</v>
      </c>
      <c r="D51" s="230"/>
      <c r="E51" s="231"/>
      <c r="F51" s="148">
        <v>719</v>
      </c>
      <c r="H51" s="130"/>
      <c r="I51" s="130"/>
    </row>
    <row r="52" spans="1:9" s="95" customFormat="1" ht="15">
      <c r="A52" s="144">
        <v>4</v>
      </c>
      <c r="B52" s="80">
        <v>42396</v>
      </c>
      <c r="C52" s="229" t="s">
        <v>122</v>
      </c>
      <c r="D52" s="230"/>
      <c r="E52" s="231"/>
      <c r="F52" s="148">
        <v>1081</v>
      </c>
      <c r="H52" s="130"/>
      <c r="I52" s="130"/>
    </row>
    <row r="53" spans="1:9" s="96" customFormat="1" ht="27.75" customHeight="1">
      <c r="A53" s="144">
        <v>5</v>
      </c>
      <c r="B53" s="80">
        <v>42398</v>
      </c>
      <c r="C53" s="232" t="s">
        <v>120</v>
      </c>
      <c r="D53" s="233"/>
      <c r="E53" s="234"/>
      <c r="F53" s="151">
        <v>654</v>
      </c>
      <c r="H53" s="131"/>
      <c r="I53" s="131"/>
    </row>
    <row r="54" spans="1:9" s="96" customFormat="1" ht="15">
      <c r="A54" s="144">
        <v>6</v>
      </c>
      <c r="B54" s="80">
        <v>42398</v>
      </c>
      <c r="C54" s="229" t="s">
        <v>123</v>
      </c>
      <c r="D54" s="230"/>
      <c r="E54" s="231"/>
      <c r="F54" s="151">
        <v>791</v>
      </c>
      <c r="H54" s="131"/>
      <c r="I54" s="131"/>
    </row>
    <row r="55" spans="1:9" s="96" customFormat="1" ht="27.75" customHeight="1">
      <c r="A55" s="144">
        <v>7</v>
      </c>
      <c r="B55" s="80">
        <v>42410</v>
      </c>
      <c r="C55" s="229" t="s">
        <v>124</v>
      </c>
      <c r="D55" s="230"/>
      <c r="E55" s="231"/>
      <c r="F55" s="151">
        <v>1205</v>
      </c>
      <c r="H55" s="131"/>
      <c r="I55" s="131"/>
    </row>
    <row r="56" spans="1:9" s="96" customFormat="1" ht="27.75" customHeight="1">
      <c r="A56" s="144">
        <v>8</v>
      </c>
      <c r="B56" s="80">
        <v>42411</v>
      </c>
      <c r="C56" s="229" t="s">
        <v>125</v>
      </c>
      <c r="D56" s="230"/>
      <c r="E56" s="231"/>
      <c r="F56" s="151">
        <v>840</v>
      </c>
      <c r="H56" s="131"/>
      <c r="I56" s="131"/>
    </row>
    <row r="57" spans="1:9" s="97" customFormat="1" ht="27.75" customHeight="1">
      <c r="A57" s="144">
        <v>9</v>
      </c>
      <c r="B57" s="80">
        <v>42412</v>
      </c>
      <c r="C57" s="229" t="s">
        <v>126</v>
      </c>
      <c r="D57" s="230"/>
      <c r="E57" s="231"/>
      <c r="F57" s="148">
        <v>822</v>
      </c>
      <c r="H57" s="132"/>
      <c r="I57" s="132"/>
    </row>
    <row r="58" spans="1:9" s="97" customFormat="1" ht="15">
      <c r="A58" s="144">
        <v>10</v>
      </c>
      <c r="B58" s="80">
        <v>42415</v>
      </c>
      <c r="C58" s="229" t="s">
        <v>127</v>
      </c>
      <c r="D58" s="230"/>
      <c r="E58" s="231"/>
      <c r="F58" s="146">
        <v>564</v>
      </c>
      <c r="H58" s="132"/>
      <c r="I58" s="132"/>
    </row>
    <row r="59" spans="1:9" s="97" customFormat="1" ht="15">
      <c r="A59" s="144">
        <v>11</v>
      </c>
      <c r="B59" s="80">
        <v>42430</v>
      </c>
      <c r="C59" s="229" t="s">
        <v>121</v>
      </c>
      <c r="D59" s="230"/>
      <c r="E59" s="231"/>
      <c r="F59" s="148">
        <v>748</v>
      </c>
      <c r="H59" s="132"/>
      <c r="I59" s="132"/>
    </row>
    <row r="60" spans="1:9" s="97" customFormat="1" ht="27.75" customHeight="1">
      <c r="A60" s="144">
        <v>12</v>
      </c>
      <c r="B60" s="80">
        <v>42446</v>
      </c>
      <c r="C60" s="232" t="s">
        <v>120</v>
      </c>
      <c r="D60" s="233"/>
      <c r="E60" s="234"/>
      <c r="F60" s="151">
        <v>654</v>
      </c>
      <c r="H60" s="132"/>
      <c r="I60" s="132"/>
    </row>
    <row r="61" spans="1:9" s="97" customFormat="1" ht="15">
      <c r="A61" s="144">
        <v>13</v>
      </c>
      <c r="B61" s="145">
        <v>42447</v>
      </c>
      <c r="C61" s="232" t="s">
        <v>128</v>
      </c>
      <c r="D61" s="233"/>
      <c r="E61" s="234"/>
      <c r="F61" s="153">
        <v>11168</v>
      </c>
      <c r="H61" s="132"/>
      <c r="I61" s="132"/>
    </row>
    <row r="62" spans="1:9" s="97" customFormat="1" ht="15">
      <c r="A62" s="144">
        <v>14</v>
      </c>
      <c r="B62" s="80">
        <v>42474</v>
      </c>
      <c r="C62" s="229" t="s">
        <v>129</v>
      </c>
      <c r="D62" s="230"/>
      <c r="E62" s="231"/>
      <c r="F62" s="148">
        <v>716</v>
      </c>
      <c r="H62" s="132"/>
      <c r="I62" s="132"/>
    </row>
    <row r="63" spans="1:9" s="98" customFormat="1" ht="15">
      <c r="A63" s="144">
        <v>15</v>
      </c>
      <c r="B63" s="80">
        <v>42475</v>
      </c>
      <c r="C63" s="229" t="s">
        <v>129</v>
      </c>
      <c r="D63" s="230"/>
      <c r="E63" s="231"/>
      <c r="F63" s="148">
        <v>716</v>
      </c>
      <c r="H63" s="133"/>
      <c r="I63" s="133"/>
    </row>
    <row r="64" spans="1:9" s="98" customFormat="1" ht="15">
      <c r="A64" s="144">
        <v>16</v>
      </c>
      <c r="B64" s="80">
        <v>42478</v>
      </c>
      <c r="C64" s="229" t="s">
        <v>129</v>
      </c>
      <c r="D64" s="230"/>
      <c r="E64" s="231"/>
      <c r="F64" s="148">
        <v>561</v>
      </c>
      <c r="H64" s="133"/>
      <c r="I64" s="133"/>
    </row>
    <row r="65" spans="1:9" s="99" customFormat="1" ht="15">
      <c r="A65" s="144">
        <v>17</v>
      </c>
      <c r="B65" s="80">
        <v>42481</v>
      </c>
      <c r="C65" s="229" t="s">
        <v>130</v>
      </c>
      <c r="D65" s="230"/>
      <c r="E65" s="231"/>
      <c r="F65" s="148">
        <v>492</v>
      </c>
      <c r="H65" s="134"/>
      <c r="I65" s="134"/>
    </row>
    <row r="66" spans="1:9" s="99" customFormat="1" ht="15">
      <c r="A66" s="144">
        <v>18</v>
      </c>
      <c r="B66" s="80">
        <v>42485</v>
      </c>
      <c r="C66" s="229" t="s">
        <v>131</v>
      </c>
      <c r="D66" s="230"/>
      <c r="E66" s="231"/>
      <c r="F66" s="147">
        <v>2890</v>
      </c>
      <c r="H66" s="134"/>
      <c r="I66" s="134"/>
    </row>
    <row r="67" spans="1:9" s="99" customFormat="1" ht="15">
      <c r="A67" s="144">
        <v>19</v>
      </c>
      <c r="B67" s="80">
        <v>42508</v>
      </c>
      <c r="C67" s="229" t="s">
        <v>132</v>
      </c>
      <c r="D67" s="230"/>
      <c r="E67" s="231"/>
      <c r="F67" s="146">
        <v>5518</v>
      </c>
      <c r="H67" s="134"/>
      <c r="I67" s="134"/>
    </row>
    <row r="68" spans="1:9" s="100" customFormat="1" ht="15">
      <c r="A68" s="144">
        <v>20</v>
      </c>
      <c r="B68" s="80">
        <v>42508</v>
      </c>
      <c r="C68" s="229" t="s">
        <v>133</v>
      </c>
      <c r="D68" s="230"/>
      <c r="E68" s="231"/>
      <c r="F68" s="148">
        <v>8076</v>
      </c>
      <c r="H68" s="135"/>
      <c r="I68" s="135"/>
    </row>
    <row r="69" spans="1:9" s="101" customFormat="1" ht="27.75" customHeight="1">
      <c r="A69" s="144">
        <v>22</v>
      </c>
      <c r="B69" s="80">
        <v>42527</v>
      </c>
      <c r="C69" s="232" t="s">
        <v>120</v>
      </c>
      <c r="D69" s="233"/>
      <c r="E69" s="234"/>
      <c r="F69" s="151">
        <v>931</v>
      </c>
      <c r="H69" s="136"/>
      <c r="I69" s="136"/>
    </row>
    <row r="70" spans="1:9" s="101" customFormat="1" ht="27.75" customHeight="1">
      <c r="A70" s="144">
        <v>23</v>
      </c>
      <c r="B70" s="80">
        <v>42535</v>
      </c>
      <c r="C70" s="232" t="s">
        <v>120</v>
      </c>
      <c r="D70" s="233"/>
      <c r="E70" s="234"/>
      <c r="F70" s="151">
        <v>2039</v>
      </c>
      <c r="H70" s="136"/>
      <c r="I70" s="136"/>
    </row>
    <row r="71" spans="1:9" s="101" customFormat="1" ht="15">
      <c r="A71" s="144">
        <v>24</v>
      </c>
      <c r="B71" s="145">
        <v>42541</v>
      </c>
      <c r="C71" s="229" t="s">
        <v>134</v>
      </c>
      <c r="D71" s="230"/>
      <c r="E71" s="231"/>
      <c r="F71" s="153">
        <v>756</v>
      </c>
      <c r="H71" s="136"/>
      <c r="I71" s="136"/>
    </row>
    <row r="72" spans="1:9" s="101" customFormat="1" ht="15">
      <c r="A72" s="144">
        <v>25</v>
      </c>
      <c r="B72" s="80">
        <v>42542</v>
      </c>
      <c r="C72" s="229" t="s">
        <v>135</v>
      </c>
      <c r="D72" s="230"/>
      <c r="E72" s="231"/>
      <c r="F72" s="155">
        <v>966</v>
      </c>
      <c r="H72" s="136"/>
      <c r="I72" s="136"/>
    </row>
    <row r="73" spans="1:6" ht="15.75">
      <c r="A73" s="144">
        <v>27</v>
      </c>
      <c r="B73" s="80">
        <v>42552</v>
      </c>
      <c r="C73" s="229" t="s">
        <v>121</v>
      </c>
      <c r="D73" s="230"/>
      <c r="E73" s="231"/>
      <c r="F73" s="148">
        <v>617</v>
      </c>
    </row>
    <row r="74" spans="1:6" ht="15.75">
      <c r="A74" s="144">
        <v>28</v>
      </c>
      <c r="B74" s="145">
        <v>42555</v>
      </c>
      <c r="C74" s="229" t="s">
        <v>136</v>
      </c>
      <c r="D74" s="230"/>
      <c r="E74" s="231"/>
      <c r="F74" s="153">
        <v>992</v>
      </c>
    </row>
    <row r="75" spans="1:6" ht="27.75" customHeight="1">
      <c r="A75" s="144">
        <v>29</v>
      </c>
      <c r="B75" s="80">
        <v>42556</v>
      </c>
      <c r="C75" s="232" t="s">
        <v>120</v>
      </c>
      <c r="D75" s="233"/>
      <c r="E75" s="234"/>
      <c r="F75" s="151">
        <v>654</v>
      </c>
    </row>
    <row r="76" spans="1:6" ht="27.75" customHeight="1">
      <c r="A76" s="144">
        <v>30</v>
      </c>
      <c r="B76" s="80">
        <v>42558</v>
      </c>
      <c r="C76" s="232" t="s">
        <v>120</v>
      </c>
      <c r="D76" s="233"/>
      <c r="E76" s="234"/>
      <c r="F76" s="151">
        <v>906</v>
      </c>
    </row>
    <row r="77" spans="1:9" s="95" customFormat="1" ht="15">
      <c r="A77" s="144">
        <v>2</v>
      </c>
      <c r="B77" s="145">
        <v>42563</v>
      </c>
      <c r="C77" s="229" t="s">
        <v>121</v>
      </c>
      <c r="D77" s="230"/>
      <c r="E77" s="231"/>
      <c r="F77" s="153">
        <v>578</v>
      </c>
      <c r="H77" s="130"/>
      <c r="I77" s="130"/>
    </row>
    <row r="78" spans="1:9" s="95" customFormat="1" ht="15">
      <c r="A78" s="144">
        <v>3</v>
      </c>
      <c r="B78" s="80">
        <v>42563</v>
      </c>
      <c r="C78" s="229" t="s">
        <v>137</v>
      </c>
      <c r="D78" s="230"/>
      <c r="E78" s="231"/>
      <c r="F78" s="149">
        <v>7800</v>
      </c>
      <c r="H78" s="130"/>
      <c r="I78" s="130"/>
    </row>
    <row r="79" spans="1:9" s="95" customFormat="1" ht="15">
      <c r="A79" s="144">
        <v>4</v>
      </c>
      <c r="B79" s="80">
        <v>42582</v>
      </c>
      <c r="C79" s="229" t="s">
        <v>138</v>
      </c>
      <c r="D79" s="230"/>
      <c r="E79" s="231"/>
      <c r="F79" s="79">
        <v>10870</v>
      </c>
      <c r="H79" s="130"/>
      <c r="I79" s="130"/>
    </row>
    <row r="80" spans="1:9" s="96" customFormat="1" ht="15">
      <c r="A80" s="144">
        <v>5</v>
      </c>
      <c r="B80" s="80">
        <v>42592</v>
      </c>
      <c r="C80" s="229" t="s">
        <v>121</v>
      </c>
      <c r="D80" s="230"/>
      <c r="E80" s="231"/>
      <c r="F80" s="148">
        <v>566</v>
      </c>
      <c r="H80" s="131"/>
      <c r="I80" s="131"/>
    </row>
    <row r="81" spans="1:9" s="96" customFormat="1" ht="15">
      <c r="A81" s="144">
        <v>6</v>
      </c>
      <c r="B81" s="80">
        <v>42608</v>
      </c>
      <c r="C81" s="229" t="s">
        <v>127</v>
      </c>
      <c r="D81" s="230"/>
      <c r="E81" s="231"/>
      <c r="F81" s="146">
        <v>988</v>
      </c>
      <c r="H81" s="131"/>
      <c r="I81" s="131"/>
    </row>
    <row r="82" spans="1:9" s="96" customFormat="1" ht="15">
      <c r="A82" s="144">
        <v>8</v>
      </c>
      <c r="B82" s="145">
        <v>42614</v>
      </c>
      <c r="C82" s="229" t="s">
        <v>121</v>
      </c>
      <c r="D82" s="230"/>
      <c r="E82" s="231"/>
      <c r="F82" s="153">
        <v>804</v>
      </c>
      <c r="H82" s="131"/>
      <c r="I82" s="131"/>
    </row>
    <row r="83" spans="1:9" s="97" customFormat="1" ht="15">
      <c r="A83" s="144">
        <v>9</v>
      </c>
      <c r="B83" s="80">
        <v>42619</v>
      </c>
      <c r="C83" s="229" t="s">
        <v>139</v>
      </c>
      <c r="D83" s="230"/>
      <c r="E83" s="231"/>
      <c r="F83" s="151">
        <v>377</v>
      </c>
      <c r="H83" s="132"/>
      <c r="I83" s="132"/>
    </row>
    <row r="84" spans="1:9" s="97" customFormat="1" ht="27.75" customHeight="1">
      <c r="A84" s="144">
        <v>10</v>
      </c>
      <c r="B84" s="80">
        <v>42622</v>
      </c>
      <c r="C84" s="229" t="s">
        <v>140</v>
      </c>
      <c r="D84" s="230"/>
      <c r="E84" s="231"/>
      <c r="F84" s="146">
        <v>12215</v>
      </c>
      <c r="H84" s="132"/>
      <c r="I84" s="132"/>
    </row>
    <row r="85" spans="1:9" s="97" customFormat="1" ht="15">
      <c r="A85" s="144">
        <v>11</v>
      </c>
      <c r="B85" s="80">
        <v>42622</v>
      </c>
      <c r="C85" s="229" t="s">
        <v>141</v>
      </c>
      <c r="D85" s="230"/>
      <c r="E85" s="231"/>
      <c r="F85" s="148">
        <v>2059</v>
      </c>
      <c r="H85" s="132"/>
      <c r="I85" s="132"/>
    </row>
    <row r="86" spans="1:9" s="97" customFormat="1" ht="15">
      <c r="A86" s="144">
        <v>12</v>
      </c>
      <c r="B86" s="80">
        <v>42628</v>
      </c>
      <c r="C86" s="229" t="s">
        <v>123</v>
      </c>
      <c r="D86" s="230"/>
      <c r="E86" s="231"/>
      <c r="F86" s="151">
        <v>791</v>
      </c>
      <c r="H86" s="132"/>
      <c r="I86" s="132"/>
    </row>
    <row r="87" spans="1:9" s="97" customFormat="1" ht="15">
      <c r="A87" s="144">
        <v>13</v>
      </c>
      <c r="B87" s="80">
        <v>42632</v>
      </c>
      <c r="C87" s="229" t="s">
        <v>142</v>
      </c>
      <c r="D87" s="230"/>
      <c r="E87" s="231"/>
      <c r="F87" s="146">
        <v>2939.66</v>
      </c>
      <c r="H87" s="132"/>
      <c r="I87" s="132"/>
    </row>
    <row r="88" spans="1:9" s="97" customFormat="1" ht="15">
      <c r="A88" s="144">
        <v>14</v>
      </c>
      <c r="B88" s="80">
        <v>42635</v>
      </c>
      <c r="C88" s="229" t="s">
        <v>143</v>
      </c>
      <c r="D88" s="230"/>
      <c r="E88" s="231"/>
      <c r="F88" s="151">
        <v>3557</v>
      </c>
      <c r="H88" s="132"/>
      <c r="I88" s="132"/>
    </row>
    <row r="89" spans="1:9" s="98" customFormat="1" ht="15">
      <c r="A89" s="144">
        <v>15</v>
      </c>
      <c r="B89" s="145">
        <v>42640</v>
      </c>
      <c r="C89" s="232" t="s">
        <v>135</v>
      </c>
      <c r="D89" s="233"/>
      <c r="E89" s="234"/>
      <c r="F89" s="156">
        <v>1104</v>
      </c>
      <c r="H89" s="133"/>
      <c r="I89" s="133"/>
    </row>
    <row r="90" spans="1:9" s="98" customFormat="1" ht="27.75" customHeight="1">
      <c r="A90" s="144">
        <v>16</v>
      </c>
      <c r="B90" s="80">
        <v>42642</v>
      </c>
      <c r="C90" s="229" t="s">
        <v>144</v>
      </c>
      <c r="D90" s="230"/>
      <c r="E90" s="231"/>
      <c r="F90" s="151">
        <v>3846</v>
      </c>
      <c r="H90" s="133"/>
      <c r="I90" s="133"/>
    </row>
    <row r="91" spans="1:9" s="99" customFormat="1" ht="15">
      <c r="A91" s="144">
        <v>18</v>
      </c>
      <c r="B91" s="80">
        <v>42645</v>
      </c>
      <c r="C91" s="229" t="s">
        <v>135</v>
      </c>
      <c r="D91" s="230"/>
      <c r="E91" s="231"/>
      <c r="F91" s="155">
        <v>1104</v>
      </c>
      <c r="H91" s="134"/>
      <c r="I91" s="134"/>
    </row>
    <row r="92" spans="1:9" s="99" customFormat="1" ht="27.75" customHeight="1">
      <c r="A92" s="144">
        <v>19</v>
      </c>
      <c r="B92" s="80">
        <v>42653</v>
      </c>
      <c r="C92" s="229" t="s">
        <v>145</v>
      </c>
      <c r="D92" s="230"/>
      <c r="E92" s="231"/>
      <c r="F92" s="151">
        <v>1223</v>
      </c>
      <c r="H92" s="134"/>
      <c r="I92" s="134"/>
    </row>
    <row r="93" spans="1:9" s="100" customFormat="1" ht="15">
      <c r="A93" s="144">
        <v>20</v>
      </c>
      <c r="B93" s="80">
        <v>42678</v>
      </c>
      <c r="C93" s="229" t="s">
        <v>135</v>
      </c>
      <c r="D93" s="230"/>
      <c r="E93" s="231"/>
      <c r="F93" s="157">
        <v>690</v>
      </c>
      <c r="H93" s="135"/>
      <c r="I93" s="135"/>
    </row>
    <row r="94" spans="1:9" s="101" customFormat="1" ht="15">
      <c r="A94" s="144">
        <v>21</v>
      </c>
      <c r="B94" s="145">
        <v>42685</v>
      </c>
      <c r="C94" s="229" t="s">
        <v>121</v>
      </c>
      <c r="D94" s="230"/>
      <c r="E94" s="231"/>
      <c r="F94" s="153">
        <v>705</v>
      </c>
      <c r="H94" s="136"/>
      <c r="I94" s="136"/>
    </row>
    <row r="95" spans="1:9" s="101" customFormat="1" ht="15">
      <c r="A95" s="144">
        <v>22</v>
      </c>
      <c r="B95" s="145">
        <v>42689</v>
      </c>
      <c r="C95" s="229" t="s">
        <v>121</v>
      </c>
      <c r="D95" s="230"/>
      <c r="E95" s="231"/>
      <c r="F95" s="153">
        <v>529</v>
      </c>
      <c r="H95" s="136"/>
      <c r="I95" s="136"/>
    </row>
    <row r="96" spans="1:9" s="101" customFormat="1" ht="15">
      <c r="A96" s="144">
        <v>23</v>
      </c>
      <c r="B96" s="145">
        <v>42692</v>
      </c>
      <c r="C96" s="229" t="s">
        <v>121</v>
      </c>
      <c r="D96" s="230"/>
      <c r="E96" s="231"/>
      <c r="F96" s="153">
        <v>672</v>
      </c>
      <c r="H96" s="136"/>
      <c r="I96" s="136"/>
    </row>
    <row r="97" spans="1:9" s="95" customFormat="1" ht="15">
      <c r="A97" s="144">
        <v>2</v>
      </c>
      <c r="B97" s="80">
        <v>42696</v>
      </c>
      <c r="C97" s="229" t="s">
        <v>123</v>
      </c>
      <c r="D97" s="230"/>
      <c r="E97" s="231"/>
      <c r="F97" s="151">
        <v>828</v>
      </c>
      <c r="H97" s="130"/>
      <c r="I97" s="130"/>
    </row>
    <row r="98" spans="1:9" s="95" customFormat="1" ht="15">
      <c r="A98" s="144">
        <v>3</v>
      </c>
      <c r="B98" s="80">
        <v>42698</v>
      </c>
      <c r="C98" s="229" t="s">
        <v>146</v>
      </c>
      <c r="D98" s="230"/>
      <c r="E98" s="231"/>
      <c r="F98" s="147">
        <v>720</v>
      </c>
      <c r="H98" s="130"/>
      <c r="I98" s="130"/>
    </row>
    <row r="99" spans="1:9" s="95" customFormat="1" ht="15">
      <c r="A99" s="144">
        <v>4</v>
      </c>
      <c r="B99" s="145">
        <v>42703</v>
      </c>
      <c r="C99" s="232" t="s">
        <v>147</v>
      </c>
      <c r="D99" s="233"/>
      <c r="E99" s="234"/>
      <c r="F99" s="153">
        <v>620</v>
      </c>
      <c r="H99" s="130"/>
      <c r="I99" s="130"/>
    </row>
    <row r="100" spans="1:9" s="96" customFormat="1" ht="15">
      <c r="A100" s="144">
        <v>5</v>
      </c>
      <c r="B100" s="80">
        <v>42706</v>
      </c>
      <c r="C100" s="229" t="s">
        <v>148</v>
      </c>
      <c r="D100" s="230"/>
      <c r="E100" s="231"/>
      <c r="F100" s="147">
        <v>270</v>
      </c>
      <c r="H100" s="131"/>
      <c r="I100" s="131"/>
    </row>
    <row r="101" spans="1:9" s="96" customFormat="1" ht="15">
      <c r="A101" s="144">
        <v>6</v>
      </c>
      <c r="B101" s="80">
        <v>42709</v>
      </c>
      <c r="C101" s="229" t="s">
        <v>149</v>
      </c>
      <c r="D101" s="230"/>
      <c r="E101" s="231"/>
      <c r="F101" s="154">
        <v>553</v>
      </c>
      <c r="H101" s="131"/>
      <c r="I101" s="131"/>
    </row>
    <row r="102" spans="1:9" s="96" customFormat="1" ht="27.75" customHeight="1">
      <c r="A102" s="144">
        <v>7</v>
      </c>
      <c r="B102" s="80">
        <v>42717</v>
      </c>
      <c r="C102" s="232" t="s">
        <v>120</v>
      </c>
      <c r="D102" s="233"/>
      <c r="E102" s="234"/>
      <c r="F102" s="152">
        <v>654</v>
      </c>
      <c r="H102" s="131"/>
      <c r="I102" s="131"/>
    </row>
    <row r="103" spans="1:9" s="96" customFormat="1" ht="15">
      <c r="A103" s="144">
        <v>8</v>
      </c>
      <c r="B103" s="80">
        <v>42723</v>
      </c>
      <c r="C103" s="229" t="s">
        <v>150</v>
      </c>
      <c r="D103" s="230"/>
      <c r="E103" s="231"/>
      <c r="F103" s="154">
        <v>586</v>
      </c>
      <c r="H103" s="131"/>
      <c r="I103" s="131"/>
    </row>
    <row r="104" spans="1:9" s="97" customFormat="1" ht="15">
      <c r="A104" s="144">
        <v>9</v>
      </c>
      <c r="B104" s="80">
        <v>42724</v>
      </c>
      <c r="C104" s="229" t="s">
        <v>151</v>
      </c>
      <c r="D104" s="230"/>
      <c r="E104" s="231"/>
      <c r="F104" s="147">
        <v>2161</v>
      </c>
      <c r="H104" s="132"/>
      <c r="I104" s="132"/>
    </row>
    <row r="105" spans="1:9" s="97" customFormat="1" ht="15">
      <c r="A105" s="144">
        <v>10</v>
      </c>
      <c r="B105" s="80">
        <v>42727</v>
      </c>
      <c r="C105" s="229" t="s">
        <v>152</v>
      </c>
      <c r="D105" s="230"/>
      <c r="E105" s="231"/>
      <c r="F105" s="154">
        <v>525</v>
      </c>
      <c r="H105" s="132"/>
      <c r="I105" s="132"/>
    </row>
    <row r="106" spans="1:9" s="97" customFormat="1" ht="15">
      <c r="A106" s="144">
        <v>11</v>
      </c>
      <c r="B106" s="80">
        <v>42727</v>
      </c>
      <c r="C106" s="229" t="s">
        <v>135</v>
      </c>
      <c r="D106" s="230"/>
      <c r="E106" s="231"/>
      <c r="F106" s="157">
        <v>966</v>
      </c>
      <c r="H106" s="132"/>
      <c r="I106" s="132"/>
    </row>
    <row r="107" spans="1:9" s="120" customFormat="1" ht="15.75">
      <c r="A107" s="235" t="s">
        <v>21</v>
      </c>
      <c r="B107" s="235"/>
      <c r="C107" s="235"/>
      <c r="D107" s="235"/>
      <c r="E107" s="235"/>
      <c r="F107" s="123">
        <f>SUM(F49:F106)</f>
        <v>110070.66</v>
      </c>
      <c r="H107" s="105"/>
      <c r="I107" s="105"/>
    </row>
  </sheetData>
  <sheetProtection selectLockedCells="1" selectUnlockedCells="1"/>
  <mergeCells count="87">
    <mergeCell ref="A1:F1"/>
    <mergeCell ref="A2:F2"/>
    <mergeCell ref="A19:F19"/>
    <mergeCell ref="C20:E20"/>
    <mergeCell ref="C21:E21"/>
    <mergeCell ref="A22:F22"/>
    <mergeCell ref="B37:E37"/>
    <mergeCell ref="B38:E38"/>
    <mergeCell ref="A23:F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5:E35"/>
    <mergeCell ref="B36:E36"/>
    <mergeCell ref="B39:E39"/>
    <mergeCell ref="B40:E40"/>
    <mergeCell ref="B41:E41"/>
    <mergeCell ref="A43:E43"/>
    <mergeCell ref="C48:E48"/>
    <mergeCell ref="C49:E49"/>
    <mergeCell ref="A44:E44"/>
    <mergeCell ref="A45:E45"/>
    <mergeCell ref="C104:E104"/>
    <mergeCell ref="C56:E56"/>
    <mergeCell ref="C57:E57"/>
    <mergeCell ref="C58:E58"/>
    <mergeCell ref="C50:E50"/>
    <mergeCell ref="C51:E51"/>
    <mergeCell ref="C52:E52"/>
    <mergeCell ref="C53:E53"/>
    <mergeCell ref="C54:E54"/>
    <mergeCell ref="A107:E107"/>
    <mergeCell ref="C97:E97"/>
    <mergeCell ref="C98:E98"/>
    <mergeCell ref="C99:E99"/>
    <mergeCell ref="C100:E100"/>
    <mergeCell ref="C101:E101"/>
    <mergeCell ref="C102:E102"/>
    <mergeCell ref="C105:E105"/>
    <mergeCell ref="C106:E106"/>
    <mergeCell ref="C103:E103"/>
    <mergeCell ref="C55:E55"/>
    <mergeCell ref="C59:E59"/>
    <mergeCell ref="C60:E60"/>
    <mergeCell ref="C61:E61"/>
    <mergeCell ref="C62:E62"/>
    <mergeCell ref="C63:E63"/>
    <mergeCell ref="C64:E64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5:E85"/>
    <mergeCell ref="C75:E75"/>
    <mergeCell ref="C76:E76"/>
    <mergeCell ref="C77:E77"/>
    <mergeCell ref="C78:E78"/>
    <mergeCell ref="C79:E79"/>
    <mergeCell ref="C80:E80"/>
    <mergeCell ref="C86:E86"/>
    <mergeCell ref="C87:E87"/>
    <mergeCell ref="C88:E88"/>
    <mergeCell ref="C89:E89"/>
    <mergeCell ref="C90:E90"/>
    <mergeCell ref="B34:E34"/>
    <mergeCell ref="C81:E81"/>
    <mergeCell ref="C82:E82"/>
    <mergeCell ref="C83:E83"/>
    <mergeCell ref="C84:E84"/>
    <mergeCell ref="C91:E91"/>
    <mergeCell ref="C92:E92"/>
    <mergeCell ref="C93:E93"/>
    <mergeCell ref="C94:E94"/>
    <mergeCell ref="C95:E95"/>
    <mergeCell ref="C96:E96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SheetLayoutView="100" zoomScalePageLayoutView="0" workbookViewId="0" topLeftCell="A7">
      <selection activeCell="M47" sqref="M47"/>
    </sheetView>
  </sheetViews>
  <sheetFormatPr defaultColWidth="9.140625" defaultRowHeight="12.75" outlineLevelRow="1"/>
  <cols>
    <col min="1" max="1" width="4.421875" style="106" customWidth="1"/>
    <col min="2" max="2" width="15.140625" style="103" customWidth="1"/>
    <col min="3" max="3" width="19.8515625" style="103" customWidth="1"/>
    <col min="4" max="4" width="13.57421875" style="103" customWidth="1"/>
    <col min="5" max="5" width="14.00390625" style="103" customWidth="1"/>
    <col min="6" max="6" width="18.140625" style="103" customWidth="1"/>
    <col min="7" max="7" width="10.140625" style="103" customWidth="1"/>
    <col min="8" max="8" width="11.28125" style="106" customWidth="1"/>
    <col min="9" max="9" width="11.28125" style="106" bestFit="1" customWidth="1"/>
    <col min="10" max="10" width="11.00390625" style="103" customWidth="1"/>
    <col min="11" max="16384" width="9.140625" style="103" customWidth="1"/>
  </cols>
  <sheetData>
    <row r="1" spans="1:7" ht="15.75">
      <c r="A1" s="197" t="s">
        <v>63</v>
      </c>
      <c r="B1" s="197"/>
      <c r="C1" s="197"/>
      <c r="D1" s="197"/>
      <c r="E1" s="197"/>
      <c r="F1" s="197"/>
      <c r="G1" s="102"/>
    </row>
    <row r="2" spans="1:6" ht="15.75">
      <c r="A2" s="197" t="s">
        <v>31</v>
      </c>
      <c r="B2" s="197"/>
      <c r="C2" s="197"/>
      <c r="D2" s="197"/>
      <c r="E2" s="197"/>
      <c r="F2" s="197"/>
    </row>
    <row r="3" ht="9" customHeight="1"/>
    <row r="4" spans="2:8" ht="15.75" outlineLevel="1">
      <c r="B4" s="107" t="s">
        <v>92</v>
      </c>
      <c r="C4" s="107"/>
      <c r="D4" s="107"/>
      <c r="E4" s="107"/>
      <c r="F4" s="107"/>
      <c r="H4" s="106" t="s">
        <v>103</v>
      </c>
    </row>
    <row r="5" spans="2:8" ht="15.75" outlineLevel="1">
      <c r="B5" s="107" t="s">
        <v>22</v>
      </c>
      <c r="C5" s="107"/>
      <c r="D5" s="107">
        <v>5315.8</v>
      </c>
      <c r="E5" s="107" t="s">
        <v>23</v>
      </c>
      <c r="F5" s="107"/>
      <c r="H5" s="106" t="s">
        <v>104</v>
      </c>
    </row>
    <row r="6" ht="9" customHeight="1"/>
    <row r="7" spans="2:6" ht="15.75">
      <c r="B7" s="104" t="s">
        <v>90</v>
      </c>
      <c r="C7" s="104"/>
      <c r="D7" s="108">
        <v>365429.09</v>
      </c>
      <c r="E7" s="104" t="s">
        <v>15</v>
      </c>
      <c r="F7" s="104"/>
    </row>
    <row r="8" spans="2:6" ht="15.75">
      <c r="B8" s="104" t="s">
        <v>101</v>
      </c>
      <c r="C8" s="104"/>
      <c r="D8" s="108">
        <v>196316.13</v>
      </c>
      <c r="E8" s="104" t="s">
        <v>15</v>
      </c>
      <c r="F8" s="104"/>
    </row>
    <row r="9" spans="2:6" ht="15.75">
      <c r="B9" s="104" t="s">
        <v>91</v>
      </c>
      <c r="C9" s="107"/>
      <c r="D9" s="109">
        <v>0</v>
      </c>
      <c r="E9" s="107" t="s">
        <v>57</v>
      </c>
      <c r="F9" s="107"/>
    </row>
    <row r="10" spans="2:6" ht="15.75">
      <c r="B10" s="107"/>
      <c r="C10" s="107"/>
      <c r="D10" s="107"/>
      <c r="E10" s="107"/>
      <c r="F10" s="110" t="s">
        <v>15</v>
      </c>
    </row>
    <row r="11" spans="1:6" s="106" customFormat="1" ht="28.5" customHeight="1">
      <c r="A11" s="111" t="s">
        <v>19</v>
      </c>
      <c r="B11" s="112" t="s">
        <v>37</v>
      </c>
      <c r="C11" s="113" t="s">
        <v>88</v>
      </c>
      <c r="D11" s="113" t="s">
        <v>0</v>
      </c>
      <c r="E11" s="113" t="s">
        <v>14</v>
      </c>
      <c r="F11" s="113" t="s">
        <v>89</v>
      </c>
    </row>
    <row r="12" spans="1:9" s="117" customFormat="1" ht="30" customHeight="1">
      <c r="A12" s="111">
        <v>1</v>
      </c>
      <c r="B12" s="114" t="s">
        <v>24</v>
      </c>
      <c r="C12" s="115">
        <v>0</v>
      </c>
      <c r="D12" s="115">
        <v>402900.5</v>
      </c>
      <c r="E12" s="115">
        <v>339540.54</v>
      </c>
      <c r="F12" s="115">
        <f aca="true" t="shared" si="0" ref="F12:F17">C12-D12+E12</f>
        <v>-63359.96000000002</v>
      </c>
      <c r="G12" s="104" t="s">
        <v>66</v>
      </c>
      <c r="H12" s="105">
        <v>7.7</v>
      </c>
      <c r="I12" s="126">
        <f>H12*10*H26</f>
        <v>409316.60000000003</v>
      </c>
    </row>
    <row r="13" spans="1:9" s="117" customFormat="1" ht="30" customHeight="1">
      <c r="A13" s="111">
        <v>2</v>
      </c>
      <c r="B13" s="114" t="s">
        <v>25</v>
      </c>
      <c r="C13" s="115">
        <v>0</v>
      </c>
      <c r="D13" s="115">
        <v>41995.54</v>
      </c>
      <c r="E13" s="115">
        <v>35422.8</v>
      </c>
      <c r="F13" s="115">
        <f t="shared" si="0"/>
        <v>-6572.739999999998</v>
      </c>
      <c r="G13" s="103" t="s">
        <v>67</v>
      </c>
      <c r="H13" s="106">
        <v>2.69</v>
      </c>
      <c r="I13" s="126">
        <f>H13*10*H26</f>
        <v>142995.02</v>
      </c>
    </row>
    <row r="14" spans="1:9" s="117" customFormat="1" ht="33" customHeight="1">
      <c r="A14" s="111">
        <v>3</v>
      </c>
      <c r="B14" s="114" t="s">
        <v>26</v>
      </c>
      <c r="C14" s="115">
        <v>0</v>
      </c>
      <c r="D14" s="115">
        <v>73889.5</v>
      </c>
      <c r="E14" s="115">
        <v>62325.15</v>
      </c>
      <c r="F14" s="115">
        <f t="shared" si="0"/>
        <v>-11564.349999999999</v>
      </c>
      <c r="G14" s="107" t="s">
        <v>68</v>
      </c>
      <c r="H14" s="106">
        <f>1.94</f>
        <v>1.94</v>
      </c>
      <c r="I14" s="126">
        <f>H14*10*H26</f>
        <v>103126.51999999999</v>
      </c>
    </row>
    <row r="15" spans="1:9" s="117" customFormat="1" ht="32.25" customHeight="1">
      <c r="A15" s="111">
        <v>4</v>
      </c>
      <c r="B15" s="114" t="s">
        <v>93</v>
      </c>
      <c r="C15" s="115">
        <v>0</v>
      </c>
      <c r="D15" s="115">
        <v>30036.88</v>
      </c>
      <c r="E15" s="115">
        <v>23274.75</v>
      </c>
      <c r="F15" s="115">
        <f t="shared" si="0"/>
        <v>-6762.130000000001</v>
      </c>
      <c r="G15" s="107" t="s">
        <v>69</v>
      </c>
      <c r="H15" s="106">
        <v>1.39</v>
      </c>
      <c r="I15" s="126">
        <f>H15*10*H26</f>
        <v>73889.62</v>
      </c>
    </row>
    <row r="16" spans="1:9" s="117" customFormat="1" ht="31.5" customHeight="1">
      <c r="A16" s="111">
        <v>5</v>
      </c>
      <c r="B16" s="114" t="s">
        <v>28</v>
      </c>
      <c r="C16" s="115">
        <v>0</v>
      </c>
      <c r="D16" s="115">
        <v>110000.16</v>
      </c>
      <c r="E16" s="115">
        <v>117639.06</v>
      </c>
      <c r="F16" s="115">
        <f t="shared" si="0"/>
        <v>7638.899999999994</v>
      </c>
      <c r="G16" s="116"/>
      <c r="H16" s="127"/>
      <c r="I16" s="126"/>
    </row>
    <row r="17" spans="1:9" s="117" customFormat="1" ht="30" customHeight="1">
      <c r="A17" s="111">
        <v>6</v>
      </c>
      <c r="B17" s="114" t="s">
        <v>29</v>
      </c>
      <c r="C17" s="115">
        <v>0</v>
      </c>
      <c r="D17" s="115">
        <v>98873.9</v>
      </c>
      <c r="E17" s="115">
        <v>83399.22</v>
      </c>
      <c r="F17" s="115">
        <f t="shared" si="0"/>
        <v>-15474.679999999993</v>
      </c>
      <c r="G17" s="116"/>
      <c r="H17" s="127"/>
      <c r="I17" s="128"/>
    </row>
    <row r="18" spans="1:9" ht="26.25" customHeight="1">
      <c r="A18" s="111"/>
      <c r="B18" s="114" t="s">
        <v>1</v>
      </c>
      <c r="C18" s="115">
        <f>SUM(C12:C17)</f>
        <v>0</v>
      </c>
      <c r="D18" s="115">
        <f>SUM(D12:D17)</f>
        <v>757696.48</v>
      </c>
      <c r="E18" s="115">
        <f>SUM(E12:E17)</f>
        <v>661601.52</v>
      </c>
      <c r="F18" s="115">
        <f>SUM(F12:F17)</f>
        <v>-96094.96000000002</v>
      </c>
      <c r="I18" s="106" t="s">
        <v>105</v>
      </c>
    </row>
    <row r="19" ht="11.25" customHeight="1"/>
    <row r="20" spans="1:6" ht="15.75">
      <c r="A20" s="197" t="s">
        <v>106</v>
      </c>
      <c r="B20" s="197"/>
      <c r="C20" s="197"/>
      <c r="D20" s="197"/>
      <c r="E20" s="197"/>
      <c r="F20" s="197"/>
    </row>
    <row r="21" spans="1:6" ht="15.75">
      <c r="A21" s="111" t="s">
        <v>19</v>
      </c>
      <c r="B21" s="112" t="s">
        <v>108</v>
      </c>
      <c r="C21" s="198" t="s">
        <v>109</v>
      </c>
      <c r="D21" s="198"/>
      <c r="E21" s="198"/>
      <c r="F21" s="111" t="s">
        <v>107</v>
      </c>
    </row>
    <row r="22" spans="1:7" ht="15.75">
      <c r="A22" s="111">
        <v>1</v>
      </c>
      <c r="B22" s="112" t="s">
        <v>110</v>
      </c>
      <c r="C22" s="199" t="s">
        <v>111</v>
      </c>
      <c r="D22" s="199"/>
      <c r="E22" s="199"/>
      <c r="F22" s="111">
        <f>300*10</f>
        <v>3000</v>
      </c>
      <c r="G22" s="103" t="s">
        <v>112</v>
      </c>
    </row>
    <row r="23" spans="1:6" ht="9.75" customHeight="1">
      <c r="A23" s="197"/>
      <c r="B23" s="197"/>
      <c r="C23" s="197"/>
      <c r="D23" s="197"/>
      <c r="E23" s="197"/>
      <c r="F23" s="197"/>
    </row>
    <row r="24" spans="1:6" ht="15.75">
      <c r="A24" s="197" t="s">
        <v>20</v>
      </c>
      <c r="B24" s="197"/>
      <c r="C24" s="197"/>
      <c r="D24" s="197"/>
      <c r="E24" s="197"/>
      <c r="F24" s="197"/>
    </row>
    <row r="25" spans="1:8" ht="7.5" customHeight="1">
      <c r="A25" s="102"/>
      <c r="B25" s="102"/>
      <c r="C25" s="102"/>
      <c r="D25" s="102"/>
      <c r="E25" s="102"/>
      <c r="F25" s="102"/>
      <c r="H25" s="106" t="s">
        <v>30</v>
      </c>
    </row>
    <row r="26" spans="1:8" ht="17.25" customHeight="1">
      <c r="A26" s="113" t="s">
        <v>84</v>
      </c>
      <c r="B26" s="200" t="s">
        <v>2</v>
      </c>
      <c r="C26" s="200"/>
      <c r="D26" s="200"/>
      <c r="E26" s="200"/>
      <c r="F26" s="118" t="s">
        <v>3</v>
      </c>
      <c r="G26" s="119"/>
      <c r="H26" s="106">
        <v>5315.8</v>
      </c>
    </row>
    <row r="27" spans="1:10" ht="18" customHeight="1">
      <c r="A27" s="138">
        <v>1</v>
      </c>
      <c r="B27" s="201" t="s">
        <v>4</v>
      </c>
      <c r="C27" s="201"/>
      <c r="D27" s="201"/>
      <c r="E27" s="201"/>
      <c r="F27" s="139">
        <f>I13</f>
        <v>142995.02</v>
      </c>
      <c r="G27" s="107"/>
      <c r="H27" s="106" t="s">
        <v>32</v>
      </c>
      <c r="I27" s="111" t="s">
        <v>33</v>
      </c>
      <c r="J27" s="112" t="s">
        <v>34</v>
      </c>
    </row>
    <row r="28" spans="1:10" ht="18" customHeight="1">
      <c r="A28" s="140">
        <v>2</v>
      </c>
      <c r="B28" s="202" t="s">
        <v>5</v>
      </c>
      <c r="C28" s="202"/>
      <c r="D28" s="202"/>
      <c r="E28" s="202"/>
      <c r="F28" s="141">
        <f>0.19*4*H26+0.21*6*H26</f>
        <v>10737.916000000001</v>
      </c>
      <c r="G28" s="107"/>
      <c r="I28" s="115">
        <v>5966.58</v>
      </c>
      <c r="J28" s="124">
        <v>6238.58</v>
      </c>
    </row>
    <row r="29" spans="1:10" ht="18" customHeight="1">
      <c r="A29" s="140">
        <v>3</v>
      </c>
      <c r="B29" s="202" t="s">
        <v>35</v>
      </c>
      <c r="C29" s="202"/>
      <c r="D29" s="202"/>
      <c r="E29" s="202"/>
      <c r="F29" s="141">
        <f>I14</f>
        <v>103126.51999999999</v>
      </c>
      <c r="G29" s="103">
        <f>F29/10</f>
        <v>10312.651999999998</v>
      </c>
      <c r="I29" s="115">
        <f>I28*10</f>
        <v>59665.8</v>
      </c>
      <c r="J29" s="124">
        <f>J28*10</f>
        <v>62385.8</v>
      </c>
    </row>
    <row r="30" spans="1:10" ht="18" customHeight="1">
      <c r="A30" s="140">
        <v>4</v>
      </c>
      <c r="B30" s="202" t="s">
        <v>36</v>
      </c>
      <c r="C30" s="202"/>
      <c r="D30" s="202"/>
      <c r="E30" s="202"/>
      <c r="F30" s="141">
        <f>I15</f>
        <v>73889.62</v>
      </c>
      <c r="G30" s="103">
        <f>F30/10</f>
        <v>7388.9619999999995</v>
      </c>
      <c r="I30" s="115" t="s">
        <v>75</v>
      </c>
      <c r="J30" s="124">
        <f>920*1.202</f>
        <v>1105.84</v>
      </c>
    </row>
    <row r="31" spans="1:10" ht="18" customHeight="1">
      <c r="A31" s="140">
        <v>5</v>
      </c>
      <c r="B31" s="202" t="s">
        <v>6</v>
      </c>
      <c r="C31" s="202"/>
      <c r="D31" s="202"/>
      <c r="E31" s="202"/>
      <c r="F31" s="141">
        <f>F32+F33+F35+F34</f>
        <v>88318</v>
      </c>
      <c r="G31" s="125">
        <f>F79</f>
        <v>88318</v>
      </c>
      <c r="I31" s="115"/>
      <c r="J31" s="124">
        <f>920*1.202</f>
        <v>1105.84</v>
      </c>
    </row>
    <row r="32" spans="1:10" ht="16.5" customHeight="1">
      <c r="A32" s="140" t="s">
        <v>7</v>
      </c>
      <c r="B32" s="202" t="s">
        <v>11</v>
      </c>
      <c r="C32" s="202"/>
      <c r="D32" s="202"/>
      <c r="E32" s="202"/>
      <c r="F32" s="141">
        <f>F52+F56+F58+F59+F64+F65+F66+F67+F69+F71+F72+F73+F75+F78</f>
        <v>13432</v>
      </c>
      <c r="I32" s="115"/>
      <c r="J32" s="124">
        <f>1380*1.202</f>
        <v>1658.76</v>
      </c>
    </row>
    <row r="33" spans="1:10" ht="16.5" customHeight="1">
      <c r="A33" s="140" t="s">
        <v>7</v>
      </c>
      <c r="B33" s="202" t="s">
        <v>12</v>
      </c>
      <c r="C33" s="202"/>
      <c r="D33" s="202"/>
      <c r="E33" s="202"/>
      <c r="F33" s="141">
        <f>F50+F53+F54+F55+F57+F60+F61+F62+F63+F68+F70+F74+F76+F77</f>
        <v>67626</v>
      </c>
      <c r="G33" s="107"/>
      <c r="I33" s="115"/>
      <c r="J33" s="124">
        <f>920*1.202</f>
        <v>1105.84</v>
      </c>
    </row>
    <row r="34" spans="1:7" ht="16.5" customHeight="1">
      <c r="A34" s="140" t="s">
        <v>7</v>
      </c>
      <c r="B34" s="202" t="s">
        <v>13</v>
      </c>
      <c r="C34" s="202"/>
      <c r="D34" s="202"/>
      <c r="E34" s="202"/>
      <c r="F34" s="141">
        <f>F51</f>
        <v>1880</v>
      </c>
      <c r="G34" s="107"/>
    </row>
    <row r="35" spans="1:7" ht="16.5" customHeight="1">
      <c r="A35" s="140" t="s">
        <v>7</v>
      </c>
      <c r="B35" s="203" t="s">
        <v>95</v>
      </c>
      <c r="C35" s="203"/>
      <c r="D35" s="203"/>
      <c r="E35" s="203"/>
      <c r="F35" s="141">
        <f>F49</f>
        <v>5380</v>
      </c>
      <c r="G35" s="107"/>
    </row>
    <row r="36" spans="1:7" ht="17.25" customHeight="1">
      <c r="A36" s="140">
        <v>6</v>
      </c>
      <c r="B36" s="204" t="s">
        <v>25</v>
      </c>
      <c r="C36" s="204"/>
      <c r="D36" s="204"/>
      <c r="E36" s="204"/>
      <c r="F36" s="141">
        <f>D13</f>
        <v>41995.54</v>
      </c>
      <c r="G36" s="107">
        <f>1848.31*10</f>
        <v>18483.1</v>
      </c>
    </row>
    <row r="37" spans="1:7" ht="17.25" customHeight="1">
      <c r="A37" s="140">
        <v>7</v>
      </c>
      <c r="B37" s="204" t="s">
        <v>27</v>
      </c>
      <c r="C37" s="204"/>
      <c r="D37" s="204"/>
      <c r="E37" s="204"/>
      <c r="F37" s="141">
        <f>D15</f>
        <v>30036.88</v>
      </c>
      <c r="G37" s="107"/>
    </row>
    <row r="38" spans="1:7" ht="17.25" customHeight="1">
      <c r="A38" s="140">
        <v>8</v>
      </c>
      <c r="B38" s="204" t="s">
        <v>53</v>
      </c>
      <c r="C38" s="204"/>
      <c r="D38" s="204"/>
      <c r="E38" s="204"/>
      <c r="F38" s="141">
        <f>D16</f>
        <v>110000.16</v>
      </c>
      <c r="G38" s="107"/>
    </row>
    <row r="39" spans="1:7" ht="17.25" customHeight="1">
      <c r="A39" s="140">
        <v>9</v>
      </c>
      <c r="B39" s="204" t="s">
        <v>29</v>
      </c>
      <c r="C39" s="204"/>
      <c r="D39" s="204"/>
      <c r="E39" s="204"/>
      <c r="F39" s="141">
        <f>D17</f>
        <v>98873.9</v>
      </c>
      <c r="G39" s="107"/>
    </row>
    <row r="40" spans="1:7" ht="17.25" customHeight="1">
      <c r="A40" s="140">
        <v>10</v>
      </c>
      <c r="B40" s="205" t="s">
        <v>102</v>
      </c>
      <c r="C40" s="206"/>
      <c r="D40" s="206"/>
      <c r="E40" s="207"/>
      <c r="F40" s="141">
        <v>2005.93</v>
      </c>
      <c r="G40" s="107"/>
    </row>
    <row r="41" spans="1:9" s="120" customFormat="1" ht="21" customHeight="1">
      <c r="A41" s="142"/>
      <c r="B41" s="208" t="s">
        <v>8</v>
      </c>
      <c r="C41" s="208"/>
      <c r="D41" s="208"/>
      <c r="E41" s="208"/>
      <c r="F41" s="143">
        <f>F27+F28+F29+F31+F39+F30+F36+F37+F38+F40</f>
        <v>701979.4860000001</v>
      </c>
      <c r="G41" s="104"/>
      <c r="H41" s="105">
        <f>F41/8/H26</f>
        <v>16.50691067195907</v>
      </c>
      <c r="I41" s="105"/>
    </row>
    <row r="43" spans="1:9" ht="18" customHeight="1">
      <c r="A43" s="210" t="s">
        <v>99</v>
      </c>
      <c r="B43" s="210"/>
      <c r="C43" s="210"/>
      <c r="D43" s="210"/>
      <c r="E43" s="210"/>
      <c r="F43" s="121">
        <f>D18-F41+D7+F22</f>
        <v>424146.08399999986</v>
      </c>
      <c r="H43" s="106" t="s">
        <v>80</v>
      </c>
      <c r="I43" s="106">
        <v>1848.31</v>
      </c>
    </row>
    <row r="44" spans="1:6" ht="20.25" customHeight="1">
      <c r="A44" s="211" t="s">
        <v>87</v>
      </c>
      <c r="B44" s="211"/>
      <c r="C44" s="211"/>
      <c r="D44" s="211"/>
      <c r="E44" s="211"/>
      <c r="F44" s="121">
        <f>F18</f>
        <v>-96094.96000000002</v>
      </c>
    </row>
    <row r="45" spans="1:6" ht="18" customHeight="1">
      <c r="A45" s="212" t="s">
        <v>82</v>
      </c>
      <c r="B45" s="212"/>
      <c r="C45" s="212"/>
      <c r="D45" s="212"/>
      <c r="E45" s="212"/>
      <c r="F45" s="121">
        <f>F43+F44</f>
        <v>328051.12399999984</v>
      </c>
    </row>
    <row r="46" ht="11.25" customHeight="1"/>
    <row r="48" spans="1:6" ht="15.75">
      <c r="A48" s="122" t="s">
        <v>19</v>
      </c>
      <c r="B48" s="122" t="s">
        <v>10</v>
      </c>
      <c r="C48" s="236" t="s">
        <v>17</v>
      </c>
      <c r="D48" s="237"/>
      <c r="E48" s="238"/>
      <c r="F48" s="122" t="s">
        <v>18</v>
      </c>
    </row>
    <row r="49" spans="1:9" s="94" customFormat="1" ht="27" customHeight="1">
      <c r="A49" s="49">
        <v>1</v>
      </c>
      <c r="B49" s="50" t="s">
        <v>85</v>
      </c>
      <c r="C49" s="223" t="s">
        <v>86</v>
      </c>
      <c r="D49" s="224"/>
      <c r="E49" s="225"/>
      <c r="F49" s="51">
        <f>10*538</f>
        <v>5380</v>
      </c>
      <c r="H49" s="129" t="s">
        <v>96</v>
      </c>
      <c r="I49" s="129"/>
    </row>
    <row r="50" spans="1:9" s="95" customFormat="1" ht="15">
      <c r="A50" s="55">
        <v>2</v>
      </c>
      <c r="B50" s="56">
        <v>42069</v>
      </c>
      <c r="C50" s="263" t="s">
        <v>48</v>
      </c>
      <c r="D50" s="264"/>
      <c r="E50" s="265"/>
      <c r="F50" s="57">
        <v>543</v>
      </c>
      <c r="H50" s="130"/>
      <c r="I50" s="130"/>
    </row>
    <row r="51" spans="1:9" s="95" customFormat="1" ht="15">
      <c r="A51" s="55">
        <v>3</v>
      </c>
      <c r="B51" s="56">
        <v>42074</v>
      </c>
      <c r="C51" s="263" t="s">
        <v>41</v>
      </c>
      <c r="D51" s="264"/>
      <c r="E51" s="265"/>
      <c r="F51" s="57">
        <v>1880</v>
      </c>
      <c r="H51" s="130"/>
      <c r="I51" s="130"/>
    </row>
    <row r="52" spans="1:9" s="95" customFormat="1" ht="30" customHeight="1">
      <c r="A52" s="49">
        <v>4</v>
      </c>
      <c r="B52" s="56">
        <v>42089</v>
      </c>
      <c r="C52" s="263" t="s">
        <v>43</v>
      </c>
      <c r="D52" s="264"/>
      <c r="E52" s="265"/>
      <c r="F52" s="57">
        <v>1209</v>
      </c>
      <c r="H52" s="130"/>
      <c r="I52" s="130"/>
    </row>
    <row r="53" spans="1:9" s="96" customFormat="1" ht="15">
      <c r="A53" s="55">
        <v>5</v>
      </c>
      <c r="B53" s="60">
        <v>42100</v>
      </c>
      <c r="C53" s="260" t="s">
        <v>38</v>
      </c>
      <c r="D53" s="261"/>
      <c r="E53" s="262"/>
      <c r="F53" s="61">
        <v>11508</v>
      </c>
      <c r="H53" s="131"/>
      <c r="I53" s="131"/>
    </row>
    <row r="54" spans="1:9" s="96" customFormat="1" ht="15">
      <c r="A54" s="55">
        <v>6</v>
      </c>
      <c r="B54" s="62">
        <v>42111</v>
      </c>
      <c r="C54" s="260" t="s">
        <v>45</v>
      </c>
      <c r="D54" s="261"/>
      <c r="E54" s="262"/>
      <c r="F54" s="61">
        <v>604</v>
      </c>
      <c r="H54" s="131"/>
      <c r="I54" s="131"/>
    </row>
    <row r="55" spans="1:9" s="96" customFormat="1" ht="12.75" customHeight="1">
      <c r="A55" s="49">
        <v>7</v>
      </c>
      <c r="B55" s="62">
        <v>42115</v>
      </c>
      <c r="C55" s="260" t="s">
        <v>45</v>
      </c>
      <c r="D55" s="261"/>
      <c r="E55" s="262"/>
      <c r="F55" s="61">
        <v>529</v>
      </c>
      <c r="H55" s="131"/>
      <c r="I55" s="131"/>
    </row>
    <row r="56" spans="1:9" s="96" customFormat="1" ht="29.25" customHeight="1">
      <c r="A56" s="55">
        <v>8</v>
      </c>
      <c r="B56" s="62">
        <v>42122</v>
      </c>
      <c r="C56" s="260" t="s">
        <v>46</v>
      </c>
      <c r="D56" s="261"/>
      <c r="E56" s="262"/>
      <c r="F56" s="61">
        <v>377</v>
      </c>
      <c r="H56" s="131"/>
      <c r="I56" s="131"/>
    </row>
    <row r="57" spans="1:9" s="97" customFormat="1" ht="15">
      <c r="A57" s="55">
        <v>9</v>
      </c>
      <c r="B57" s="68">
        <v>42156</v>
      </c>
      <c r="C57" s="254" t="s">
        <v>73</v>
      </c>
      <c r="D57" s="255"/>
      <c r="E57" s="256"/>
      <c r="F57" s="69">
        <v>47621</v>
      </c>
      <c r="H57" s="132"/>
      <c r="I57" s="132"/>
    </row>
    <row r="58" spans="1:9" s="97" customFormat="1" ht="29.25" customHeight="1">
      <c r="A58" s="49">
        <v>10</v>
      </c>
      <c r="B58" s="68">
        <v>42165</v>
      </c>
      <c r="C58" s="254" t="s">
        <v>47</v>
      </c>
      <c r="D58" s="255"/>
      <c r="E58" s="256"/>
      <c r="F58" s="69">
        <v>654</v>
      </c>
      <c r="H58" s="132"/>
      <c r="I58" s="132"/>
    </row>
    <row r="59" spans="1:9" s="97" customFormat="1" ht="30.75" customHeight="1">
      <c r="A59" s="55">
        <v>11</v>
      </c>
      <c r="B59" s="68">
        <v>42165</v>
      </c>
      <c r="C59" s="254" t="s">
        <v>46</v>
      </c>
      <c r="D59" s="255"/>
      <c r="E59" s="256"/>
      <c r="F59" s="69">
        <v>654</v>
      </c>
      <c r="H59" s="132"/>
      <c r="I59" s="132"/>
    </row>
    <row r="60" spans="1:9" s="97" customFormat="1" ht="30" customHeight="1">
      <c r="A60" s="55">
        <v>12</v>
      </c>
      <c r="B60" s="68">
        <v>42165</v>
      </c>
      <c r="C60" s="254" t="s">
        <v>39</v>
      </c>
      <c r="D60" s="255"/>
      <c r="E60" s="256"/>
      <c r="F60" s="69">
        <f>1514</f>
        <v>1514</v>
      </c>
      <c r="H60" s="132"/>
      <c r="I60" s="132"/>
    </row>
    <row r="61" spans="1:9" s="97" customFormat="1" ht="28.5" customHeight="1">
      <c r="A61" s="49">
        <v>13</v>
      </c>
      <c r="B61" s="68">
        <v>42171</v>
      </c>
      <c r="C61" s="254" t="s">
        <v>39</v>
      </c>
      <c r="D61" s="255"/>
      <c r="E61" s="256"/>
      <c r="F61" s="69">
        <f>1279</f>
        <v>1279</v>
      </c>
      <c r="H61" s="132"/>
      <c r="I61" s="132"/>
    </row>
    <row r="62" spans="1:9" s="97" customFormat="1" ht="15">
      <c r="A62" s="55">
        <v>14</v>
      </c>
      <c r="B62" s="68">
        <v>42184</v>
      </c>
      <c r="C62" s="254" t="s">
        <v>40</v>
      </c>
      <c r="D62" s="255"/>
      <c r="E62" s="256"/>
      <c r="F62" s="69">
        <v>55</v>
      </c>
      <c r="H62" s="132"/>
      <c r="I62" s="132"/>
    </row>
    <row r="63" spans="1:9" s="98" customFormat="1" ht="13.5" customHeight="1">
      <c r="A63" s="55">
        <v>15</v>
      </c>
      <c r="B63" s="72">
        <v>42187</v>
      </c>
      <c r="C63" s="257" t="s">
        <v>50</v>
      </c>
      <c r="D63" s="258"/>
      <c r="E63" s="259"/>
      <c r="F63" s="73">
        <v>492</v>
      </c>
      <c r="H63" s="133"/>
      <c r="I63" s="133"/>
    </row>
    <row r="64" spans="1:9" s="98" customFormat="1" ht="27" customHeight="1">
      <c r="A64" s="49">
        <v>16</v>
      </c>
      <c r="B64" s="74">
        <v>42188</v>
      </c>
      <c r="C64" s="257" t="s">
        <v>44</v>
      </c>
      <c r="D64" s="258"/>
      <c r="E64" s="259"/>
      <c r="F64" s="73">
        <v>1170</v>
      </c>
      <c r="H64" s="133"/>
      <c r="I64" s="133"/>
    </row>
    <row r="65" spans="1:9" s="99" customFormat="1" ht="27.75" customHeight="1">
      <c r="A65" s="55">
        <v>17</v>
      </c>
      <c r="B65" s="77">
        <v>42221</v>
      </c>
      <c r="C65" s="248" t="s">
        <v>94</v>
      </c>
      <c r="D65" s="249"/>
      <c r="E65" s="250"/>
      <c r="F65" s="78">
        <v>952</v>
      </c>
      <c r="H65" s="134"/>
      <c r="I65" s="134"/>
    </row>
    <row r="66" spans="1:9" s="99" customFormat="1" ht="29.25" customHeight="1">
      <c r="A66" s="55">
        <v>18</v>
      </c>
      <c r="B66" s="77">
        <v>42228</v>
      </c>
      <c r="C66" s="248" t="s">
        <v>77</v>
      </c>
      <c r="D66" s="249"/>
      <c r="E66" s="250"/>
      <c r="F66" s="78">
        <v>654</v>
      </c>
      <c r="H66" s="134"/>
      <c r="I66" s="134"/>
    </row>
    <row r="67" spans="1:9" s="99" customFormat="1" ht="30" customHeight="1">
      <c r="A67" s="49">
        <v>19</v>
      </c>
      <c r="B67" s="77">
        <v>42241</v>
      </c>
      <c r="C67" s="248" t="s">
        <v>94</v>
      </c>
      <c r="D67" s="249"/>
      <c r="E67" s="250"/>
      <c r="F67" s="78">
        <v>675</v>
      </c>
      <c r="H67" s="134"/>
      <c r="I67" s="134"/>
    </row>
    <row r="68" spans="1:9" s="100" customFormat="1" ht="15">
      <c r="A68" s="55">
        <v>20</v>
      </c>
      <c r="B68" s="83">
        <v>42265</v>
      </c>
      <c r="C68" s="251" t="s">
        <v>38</v>
      </c>
      <c r="D68" s="252"/>
      <c r="E68" s="253"/>
      <c r="F68" s="84">
        <v>446</v>
      </c>
      <c r="H68" s="135"/>
      <c r="I68" s="135"/>
    </row>
    <row r="69" spans="1:9" s="101" customFormat="1" ht="30.75" customHeight="1">
      <c r="A69" s="55">
        <v>21</v>
      </c>
      <c r="B69" s="88" t="s">
        <v>78</v>
      </c>
      <c r="C69" s="245" t="s">
        <v>77</v>
      </c>
      <c r="D69" s="246"/>
      <c r="E69" s="247"/>
      <c r="F69" s="89">
        <f>2*654</f>
        <v>1308</v>
      </c>
      <c r="H69" s="136"/>
      <c r="I69" s="136"/>
    </row>
    <row r="70" spans="1:9" s="101" customFormat="1" ht="28.5" customHeight="1">
      <c r="A70" s="49">
        <v>22</v>
      </c>
      <c r="B70" s="88">
        <v>42290</v>
      </c>
      <c r="C70" s="245" t="s">
        <v>79</v>
      </c>
      <c r="D70" s="246"/>
      <c r="E70" s="247"/>
      <c r="F70" s="89">
        <v>934</v>
      </c>
      <c r="H70" s="136"/>
      <c r="I70" s="136"/>
    </row>
    <row r="71" spans="1:9" s="101" customFormat="1" ht="33" customHeight="1">
      <c r="A71" s="55">
        <v>23</v>
      </c>
      <c r="B71" s="88">
        <v>42293</v>
      </c>
      <c r="C71" s="245" t="s">
        <v>76</v>
      </c>
      <c r="D71" s="246"/>
      <c r="E71" s="247"/>
      <c r="F71" s="89">
        <v>1485</v>
      </c>
      <c r="H71" s="136"/>
      <c r="I71" s="136"/>
    </row>
    <row r="72" spans="1:9" s="101" customFormat="1" ht="33" customHeight="1">
      <c r="A72" s="55">
        <v>24</v>
      </c>
      <c r="B72" s="88">
        <v>42296</v>
      </c>
      <c r="C72" s="245" t="s">
        <v>77</v>
      </c>
      <c r="D72" s="246"/>
      <c r="E72" s="247"/>
      <c r="F72" s="89">
        <v>654</v>
      </c>
      <c r="H72" s="136"/>
      <c r="I72" s="136"/>
    </row>
    <row r="73" spans="1:9" s="101" customFormat="1" ht="33" customHeight="1">
      <c r="A73" s="49">
        <v>25</v>
      </c>
      <c r="B73" s="88">
        <v>42306</v>
      </c>
      <c r="C73" s="245" t="s">
        <v>77</v>
      </c>
      <c r="D73" s="246"/>
      <c r="E73" s="247"/>
      <c r="F73" s="89">
        <v>377</v>
      </c>
      <c r="H73" s="136"/>
      <c r="I73" s="136"/>
    </row>
    <row r="74" spans="1:9" s="93" customFormat="1" ht="15">
      <c r="A74" s="55">
        <v>26</v>
      </c>
      <c r="B74" s="80">
        <v>42324</v>
      </c>
      <c r="C74" s="242" t="s">
        <v>81</v>
      </c>
      <c r="D74" s="243"/>
      <c r="E74" s="244"/>
      <c r="F74" s="81">
        <v>526</v>
      </c>
      <c r="H74" s="137"/>
      <c r="I74" s="137"/>
    </row>
    <row r="75" spans="1:6" ht="31.5" customHeight="1">
      <c r="A75" s="55">
        <v>27</v>
      </c>
      <c r="B75" s="80">
        <v>42353</v>
      </c>
      <c r="C75" s="242" t="s">
        <v>97</v>
      </c>
      <c r="D75" s="243"/>
      <c r="E75" s="244"/>
      <c r="F75" s="81">
        <v>840</v>
      </c>
    </row>
    <row r="76" spans="1:6" ht="15.75">
      <c r="A76" s="49">
        <v>28</v>
      </c>
      <c r="B76" s="80">
        <v>42354</v>
      </c>
      <c r="C76" s="242" t="s">
        <v>81</v>
      </c>
      <c r="D76" s="243"/>
      <c r="E76" s="244"/>
      <c r="F76" s="81">
        <v>955</v>
      </c>
    </row>
    <row r="77" spans="1:6" ht="15.75">
      <c r="A77" s="55">
        <v>29</v>
      </c>
      <c r="B77" s="80">
        <v>42339</v>
      </c>
      <c r="C77" s="242" t="s">
        <v>100</v>
      </c>
      <c r="D77" s="243"/>
      <c r="E77" s="244"/>
      <c r="F77" s="81">
        <v>620</v>
      </c>
    </row>
    <row r="78" spans="1:6" ht="47.25" customHeight="1">
      <c r="A78" s="55">
        <v>30</v>
      </c>
      <c r="B78" s="80">
        <v>42359</v>
      </c>
      <c r="C78" s="242" t="s">
        <v>98</v>
      </c>
      <c r="D78" s="243"/>
      <c r="E78" s="244"/>
      <c r="F78" s="81">
        <f>654+1769</f>
        <v>2423</v>
      </c>
    </row>
    <row r="79" spans="1:9" s="120" customFormat="1" ht="15.75">
      <c r="A79" s="235" t="s">
        <v>21</v>
      </c>
      <c r="B79" s="235"/>
      <c r="C79" s="235"/>
      <c r="D79" s="235"/>
      <c r="E79" s="235"/>
      <c r="F79" s="123">
        <f>SUM(F49:F78)</f>
        <v>88318</v>
      </c>
      <c r="H79" s="105"/>
      <c r="I79" s="105"/>
    </row>
  </sheetData>
  <sheetProtection selectLockedCells="1" selectUnlockedCells="1"/>
  <mergeCells count="58">
    <mergeCell ref="A1:F1"/>
    <mergeCell ref="A2:F2"/>
    <mergeCell ref="A23:F23"/>
    <mergeCell ref="B26:E26"/>
    <mergeCell ref="B27:E27"/>
    <mergeCell ref="B28:E28"/>
    <mergeCell ref="A24:F24"/>
    <mergeCell ref="A20:F20"/>
    <mergeCell ref="C21:E21"/>
    <mergeCell ref="C22:E22"/>
    <mergeCell ref="B29:E29"/>
    <mergeCell ref="B30:E30"/>
    <mergeCell ref="B31:E31"/>
    <mergeCell ref="B32:E32"/>
    <mergeCell ref="B33:E33"/>
    <mergeCell ref="B35:E35"/>
    <mergeCell ref="B34:E34"/>
    <mergeCell ref="B36:E36"/>
    <mergeCell ref="B37:E37"/>
    <mergeCell ref="B38:E38"/>
    <mergeCell ref="B39:E39"/>
    <mergeCell ref="B41:E41"/>
    <mergeCell ref="A43:E43"/>
    <mergeCell ref="B40:E40"/>
    <mergeCell ref="C50:E50"/>
    <mergeCell ref="C51:E51"/>
    <mergeCell ref="C52:E52"/>
    <mergeCell ref="C53:E53"/>
    <mergeCell ref="A44:E44"/>
    <mergeCell ref="A45:E45"/>
    <mergeCell ref="C48:E48"/>
    <mergeCell ref="C49:E49"/>
    <mergeCell ref="C58:E58"/>
    <mergeCell ref="C59:E59"/>
    <mergeCell ref="C60:E60"/>
    <mergeCell ref="C61:E61"/>
    <mergeCell ref="C54:E54"/>
    <mergeCell ref="C55:E55"/>
    <mergeCell ref="C56:E56"/>
    <mergeCell ref="C57:E57"/>
    <mergeCell ref="C67:E67"/>
    <mergeCell ref="C68:E68"/>
    <mergeCell ref="C69:E69"/>
    <mergeCell ref="C62:E62"/>
    <mergeCell ref="C63:E63"/>
    <mergeCell ref="C64:E64"/>
    <mergeCell ref="C65:E65"/>
    <mergeCell ref="C66:E66"/>
    <mergeCell ref="C75:E75"/>
    <mergeCell ref="A79:E79"/>
    <mergeCell ref="C76:E76"/>
    <mergeCell ref="C78:E78"/>
    <mergeCell ref="C70:E70"/>
    <mergeCell ref="C71:E71"/>
    <mergeCell ref="C72:E72"/>
    <mergeCell ref="C73:E73"/>
    <mergeCell ref="C74:E74"/>
    <mergeCell ref="C77:E77"/>
  </mergeCells>
  <printOptions horizontalCentered="1" verticalCentered="1"/>
  <pageMargins left="0.7480314960629921" right="0.7480314960629921" top="0" bottom="0" header="0" footer="0"/>
  <pageSetup fitToHeight="0" fitToWidth="1" horizontalDpi="300" verticalDpi="300" orientation="portrait" paperSize="9" r:id="rId1"/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SheetLayoutView="100" zoomScalePageLayoutView="0" workbookViewId="0" topLeftCell="A25">
      <selection activeCell="A8" sqref="A8:IV8"/>
    </sheetView>
  </sheetViews>
  <sheetFormatPr defaultColWidth="9.140625" defaultRowHeight="12.75"/>
  <cols>
    <col min="1" max="1" width="4.421875" style="7" customWidth="1"/>
    <col min="2" max="2" width="15.140625" style="10" customWidth="1"/>
    <col min="3" max="3" width="14.7109375" style="10" customWidth="1"/>
    <col min="4" max="4" width="13.57421875" style="10" customWidth="1"/>
    <col min="5" max="5" width="14.00390625" style="10" customWidth="1"/>
    <col min="6" max="6" width="18.140625" style="10" customWidth="1"/>
    <col min="7" max="7" width="10.140625" style="10" customWidth="1"/>
    <col min="8" max="8" width="9.57421875" style="10" bestFit="1" customWidth="1"/>
    <col min="9" max="9" width="9.140625" style="10" customWidth="1"/>
    <col min="10" max="10" width="11.00390625" style="10" customWidth="1"/>
    <col min="11" max="16384" width="9.140625" style="10" customWidth="1"/>
  </cols>
  <sheetData>
    <row r="1" spans="1:7" ht="12.75">
      <c r="A1" s="276" t="s">
        <v>63</v>
      </c>
      <c r="B1" s="276"/>
      <c r="C1" s="276"/>
      <c r="D1" s="276"/>
      <c r="E1" s="276"/>
      <c r="F1" s="276"/>
      <c r="G1" s="9"/>
    </row>
    <row r="2" spans="1:8" ht="12.75">
      <c r="A2" s="276" t="s">
        <v>31</v>
      </c>
      <c r="B2" s="276"/>
      <c r="C2" s="276"/>
      <c r="D2" s="276"/>
      <c r="E2" s="276"/>
      <c r="F2" s="276"/>
      <c r="G2" s="11" t="s">
        <v>66</v>
      </c>
      <c r="H2" s="12">
        <v>7.7</v>
      </c>
    </row>
    <row r="3" spans="7:8" ht="9" customHeight="1">
      <c r="G3" s="10" t="s">
        <v>67</v>
      </c>
      <c r="H3" s="10">
        <v>2.69</v>
      </c>
    </row>
    <row r="4" spans="2:8" ht="12.75">
      <c r="B4" s="13"/>
      <c r="C4" s="13"/>
      <c r="D4" s="13"/>
      <c r="E4" s="13"/>
      <c r="F4" s="13"/>
      <c r="G4" s="13" t="s">
        <v>68</v>
      </c>
      <c r="H4" s="10">
        <f>1.94+0.69</f>
        <v>2.63</v>
      </c>
    </row>
    <row r="5" spans="2:8" ht="12.75">
      <c r="B5" s="13" t="s">
        <v>22</v>
      </c>
      <c r="C5" s="13"/>
      <c r="D5" s="13">
        <v>5315.9</v>
      </c>
      <c r="E5" s="13" t="s">
        <v>23</v>
      </c>
      <c r="F5" s="13"/>
      <c r="G5" s="13" t="s">
        <v>69</v>
      </c>
      <c r="H5" s="10">
        <v>1.39</v>
      </c>
    </row>
    <row r="6" ht="9" customHeight="1"/>
    <row r="7" spans="2:6" ht="12.75">
      <c r="B7" s="11" t="s">
        <v>54</v>
      </c>
      <c r="C7" s="11"/>
      <c r="D7" s="35">
        <v>245278.6</v>
      </c>
      <c r="E7" s="11" t="s">
        <v>55</v>
      </c>
      <c r="F7" s="11"/>
    </row>
    <row r="8" spans="2:6" ht="12.75">
      <c r="B8" s="11" t="s">
        <v>56</v>
      </c>
      <c r="C8" s="13"/>
      <c r="D8" s="36">
        <v>-145243.41</v>
      </c>
      <c r="E8" s="13" t="s">
        <v>57</v>
      </c>
      <c r="F8" s="13"/>
    </row>
    <row r="9" spans="2:6" ht="12.75">
      <c r="B9" s="13"/>
      <c r="C9" s="13"/>
      <c r="D9" s="13"/>
      <c r="E9" s="13"/>
      <c r="F9" s="14" t="s">
        <v>15</v>
      </c>
    </row>
    <row r="10" spans="1:6" s="7" customFormat="1" ht="28.5" customHeight="1">
      <c r="A10" s="19" t="s">
        <v>19</v>
      </c>
      <c r="B10" s="28" t="s">
        <v>37</v>
      </c>
      <c r="C10" s="4" t="s">
        <v>60</v>
      </c>
      <c r="D10" s="4" t="s">
        <v>0</v>
      </c>
      <c r="E10" s="4" t="s">
        <v>14</v>
      </c>
      <c r="F10" s="4" t="s">
        <v>64</v>
      </c>
    </row>
    <row r="11" spans="1:8" ht="30" customHeight="1">
      <c r="A11" s="29">
        <v>1</v>
      </c>
      <c r="B11" s="26" t="s">
        <v>24</v>
      </c>
      <c r="C11" s="27">
        <v>-83860.14</v>
      </c>
      <c r="D11" s="30"/>
      <c r="E11" s="30"/>
      <c r="F11" s="30">
        <f aca="true" t="shared" si="0" ref="F11:F16">C11-D11+E11</f>
        <v>-83860.14</v>
      </c>
      <c r="G11" s="25"/>
      <c r="H11" s="25"/>
    </row>
    <row r="12" spans="1:8" ht="30" customHeight="1">
      <c r="A12" s="29">
        <v>2</v>
      </c>
      <c r="B12" s="26" t="s">
        <v>25</v>
      </c>
      <c r="C12" s="27">
        <v>-7239.44</v>
      </c>
      <c r="D12" s="30"/>
      <c r="E12" s="30"/>
      <c r="F12" s="30">
        <f t="shared" si="0"/>
        <v>-7239.44</v>
      </c>
      <c r="G12" s="25"/>
      <c r="H12" s="25"/>
    </row>
    <row r="13" spans="1:8" ht="29.25" customHeight="1">
      <c r="A13" s="29">
        <v>3</v>
      </c>
      <c r="B13" s="26" t="s">
        <v>26</v>
      </c>
      <c r="C13" s="27">
        <v>-12370.01</v>
      </c>
      <c r="D13" s="30"/>
      <c r="E13" s="30"/>
      <c r="F13" s="30">
        <f t="shared" si="0"/>
        <v>-12370.01</v>
      </c>
      <c r="G13" s="25"/>
      <c r="H13" s="25"/>
    </row>
    <row r="14" spans="1:8" ht="30" customHeight="1">
      <c r="A14" s="29">
        <v>4</v>
      </c>
      <c r="B14" s="26" t="s">
        <v>27</v>
      </c>
      <c r="C14" s="27">
        <v>-14937.93</v>
      </c>
      <c r="D14" s="30"/>
      <c r="E14" s="30"/>
      <c r="F14" s="30">
        <f t="shared" si="0"/>
        <v>-14937.93</v>
      </c>
      <c r="G14" s="25"/>
      <c r="H14" s="25"/>
    </row>
    <row r="15" spans="1:8" ht="30" customHeight="1">
      <c r="A15" s="29">
        <v>5</v>
      </c>
      <c r="B15" s="26" t="s">
        <v>28</v>
      </c>
      <c r="C15" s="27">
        <v>-9487.33</v>
      </c>
      <c r="D15" s="30"/>
      <c r="E15" s="30"/>
      <c r="F15" s="30">
        <f t="shared" si="0"/>
        <v>-9487.33</v>
      </c>
      <c r="G15" s="25"/>
      <c r="H15" s="25"/>
    </row>
    <row r="16" spans="1:8" ht="30" customHeight="1">
      <c r="A16" s="29">
        <v>6</v>
      </c>
      <c r="B16" s="26" t="s">
        <v>29</v>
      </c>
      <c r="C16" s="27">
        <v>-17348.56</v>
      </c>
      <c r="D16" s="30"/>
      <c r="E16" s="30"/>
      <c r="F16" s="30">
        <f t="shared" si="0"/>
        <v>-17348.56</v>
      </c>
      <c r="G16" s="25"/>
      <c r="H16" s="25"/>
    </row>
    <row r="17" spans="1:6" ht="26.25" customHeight="1">
      <c r="A17" s="19"/>
      <c r="B17" s="26" t="s">
        <v>1</v>
      </c>
      <c r="C17" s="27">
        <f>SUM(C11:C16)</f>
        <v>-145243.41</v>
      </c>
      <c r="D17" s="27">
        <f>SUM(D11:D16)</f>
        <v>0</v>
      </c>
      <c r="E17" s="27">
        <f>SUM(E11:E16)</f>
        <v>0</v>
      </c>
      <c r="F17" s="27">
        <f>SUM(F11:F16)</f>
        <v>-145243.41</v>
      </c>
    </row>
    <row r="18" ht="11.25" customHeight="1"/>
    <row r="19" spans="1:6" ht="12.75">
      <c r="A19" s="276" t="s">
        <v>20</v>
      </c>
      <c r="B19" s="276"/>
      <c r="C19" s="276"/>
      <c r="D19" s="276"/>
      <c r="E19" s="276"/>
      <c r="F19" s="276"/>
    </row>
    <row r="20" spans="1:8" ht="12.75">
      <c r="A20" s="9"/>
      <c r="B20" s="9"/>
      <c r="C20" s="9"/>
      <c r="D20" s="9"/>
      <c r="E20" s="9"/>
      <c r="F20" s="9"/>
      <c r="H20" s="10" t="s">
        <v>30</v>
      </c>
    </row>
    <row r="21" spans="1:8" ht="33" customHeight="1">
      <c r="A21" s="4" t="s">
        <v>16</v>
      </c>
      <c r="B21" s="283" t="s">
        <v>2</v>
      </c>
      <c r="C21" s="283"/>
      <c r="D21" s="283"/>
      <c r="E21" s="283"/>
      <c r="F21" s="5" t="s">
        <v>3</v>
      </c>
      <c r="G21" s="6"/>
      <c r="H21" s="10">
        <v>5315.9</v>
      </c>
    </row>
    <row r="22" spans="1:10" ht="18" customHeight="1">
      <c r="A22" s="3">
        <v>1</v>
      </c>
      <c r="B22" s="284" t="s">
        <v>4</v>
      </c>
      <c r="C22" s="284"/>
      <c r="D22" s="284"/>
      <c r="E22" s="284"/>
      <c r="F22" s="37">
        <f>2.69*H21*12</f>
        <v>171597.25199999998</v>
      </c>
      <c r="G22" s="15"/>
      <c r="H22" s="10" t="s">
        <v>32</v>
      </c>
      <c r="I22" s="10" t="s">
        <v>33</v>
      </c>
      <c r="J22" s="10" t="s">
        <v>34</v>
      </c>
    </row>
    <row r="23" spans="1:10" ht="18" customHeight="1">
      <c r="A23" s="1">
        <v>2</v>
      </c>
      <c r="B23" s="275" t="s">
        <v>5</v>
      </c>
      <c r="C23" s="275"/>
      <c r="D23" s="275"/>
      <c r="E23" s="275"/>
      <c r="F23" s="38">
        <f>0.19*6*H21+0.21*6*H21</f>
        <v>12758.16</v>
      </c>
      <c r="G23" s="15"/>
      <c r="I23" s="10">
        <v>5966.58</v>
      </c>
      <c r="J23" s="10">
        <v>6238.58</v>
      </c>
    </row>
    <row r="24" spans="1:10" ht="18" customHeight="1">
      <c r="A24" s="1">
        <v>3</v>
      </c>
      <c r="B24" s="275" t="s">
        <v>35</v>
      </c>
      <c r="C24" s="275"/>
      <c r="D24" s="275"/>
      <c r="E24" s="275"/>
      <c r="F24" s="38">
        <f>H4*12*H21</f>
        <v>167769.80399999997</v>
      </c>
      <c r="G24" s="86" t="s">
        <v>75</v>
      </c>
      <c r="H24" s="10">
        <f>920*1.202</f>
        <v>1105.84</v>
      </c>
      <c r="I24" s="10">
        <f>I23*12</f>
        <v>71598.95999999999</v>
      </c>
      <c r="J24" s="10">
        <f>J23*12</f>
        <v>74862.95999999999</v>
      </c>
    </row>
    <row r="25" spans="1:8" ht="18" customHeight="1">
      <c r="A25" s="1">
        <v>4</v>
      </c>
      <c r="B25" s="275" t="s">
        <v>36</v>
      </c>
      <c r="C25" s="275"/>
      <c r="D25" s="275"/>
      <c r="E25" s="275"/>
      <c r="F25" s="38">
        <f>H5*12*H21</f>
        <v>88669.212</v>
      </c>
      <c r="G25" s="15"/>
      <c r="H25" s="10">
        <f>920*1.202</f>
        <v>1105.84</v>
      </c>
    </row>
    <row r="26" spans="1:8" ht="18" customHeight="1">
      <c r="A26" s="1">
        <v>5</v>
      </c>
      <c r="B26" s="275" t="s">
        <v>6</v>
      </c>
      <c r="C26" s="275"/>
      <c r="D26" s="275"/>
      <c r="E26" s="275"/>
      <c r="F26" s="38">
        <f>F27+F28+F29</f>
        <v>88468</v>
      </c>
      <c r="G26" s="15"/>
      <c r="H26" s="10">
        <f>1380*1.202</f>
        <v>1658.76</v>
      </c>
    </row>
    <row r="27" spans="1:8" ht="16.5" customHeight="1">
      <c r="A27" s="1" t="s">
        <v>7</v>
      </c>
      <c r="B27" s="275" t="s">
        <v>11</v>
      </c>
      <c r="C27" s="275"/>
      <c r="D27" s="275"/>
      <c r="E27" s="275"/>
      <c r="F27" s="39">
        <f>F48+F53+F59+F65+F58+F67+F68+F70</f>
        <v>6345</v>
      </c>
      <c r="G27" s="13"/>
      <c r="H27" s="10">
        <f>920*1.202</f>
        <v>1105.84</v>
      </c>
    </row>
    <row r="28" spans="1:7" ht="16.5" customHeight="1">
      <c r="A28" s="1" t="s">
        <v>7</v>
      </c>
      <c r="B28" s="275" t="s">
        <v>12</v>
      </c>
      <c r="C28" s="275"/>
      <c r="D28" s="275"/>
      <c r="E28" s="275"/>
      <c r="F28" s="39">
        <f>F42+F43+F44+F45+F49+F50+F51+F52+F54+F60+F61+F62+F63+F64+F66+F69+F73+F78+F81+F82+F55</f>
        <v>75366</v>
      </c>
      <c r="G28" s="13"/>
    </row>
    <row r="29" spans="1:7" ht="16.5" customHeight="1">
      <c r="A29" s="1" t="s">
        <v>7</v>
      </c>
      <c r="B29" s="275" t="s">
        <v>13</v>
      </c>
      <c r="C29" s="275"/>
      <c r="D29" s="275"/>
      <c r="E29" s="275"/>
      <c r="F29" s="39">
        <f>F46+F47+F57</f>
        <v>6757</v>
      </c>
      <c r="G29" s="13"/>
    </row>
    <row r="30" spans="1:7" ht="17.25" customHeight="1">
      <c r="A30" s="1">
        <v>6</v>
      </c>
      <c r="B30" s="273" t="s">
        <v>25</v>
      </c>
      <c r="C30" s="273"/>
      <c r="D30" s="273"/>
      <c r="E30" s="273"/>
      <c r="F30" s="39">
        <f>D12</f>
        <v>0</v>
      </c>
      <c r="G30" s="13"/>
    </row>
    <row r="31" spans="1:7" ht="17.25" customHeight="1">
      <c r="A31" s="1">
        <v>7</v>
      </c>
      <c r="B31" s="273" t="s">
        <v>27</v>
      </c>
      <c r="C31" s="273"/>
      <c r="D31" s="273"/>
      <c r="E31" s="273"/>
      <c r="F31" s="39">
        <f>D14</f>
        <v>0</v>
      </c>
      <c r="G31" s="13"/>
    </row>
    <row r="32" spans="1:7" ht="17.25" customHeight="1">
      <c r="A32" s="1">
        <v>8</v>
      </c>
      <c r="B32" s="273" t="s">
        <v>53</v>
      </c>
      <c r="C32" s="273"/>
      <c r="D32" s="273"/>
      <c r="E32" s="273"/>
      <c r="F32" s="39">
        <f>D15</f>
        <v>0</v>
      </c>
      <c r="G32" s="13"/>
    </row>
    <row r="33" spans="1:7" ht="17.25" customHeight="1">
      <c r="A33" s="1">
        <v>9</v>
      </c>
      <c r="B33" s="273" t="s">
        <v>29</v>
      </c>
      <c r="C33" s="273"/>
      <c r="D33" s="273"/>
      <c r="E33" s="273"/>
      <c r="F33" s="39">
        <f>D16</f>
        <v>0</v>
      </c>
      <c r="G33" s="13"/>
    </row>
    <row r="34" spans="1:8" s="16" customFormat="1" ht="21" customHeight="1">
      <c r="A34" s="17"/>
      <c r="B34" s="269" t="s">
        <v>8</v>
      </c>
      <c r="C34" s="269"/>
      <c r="D34" s="269"/>
      <c r="E34" s="269"/>
      <c r="F34" s="2">
        <f>F22+F23+F24+F26+F33+F25+F30+F31+F32</f>
        <v>529262.428</v>
      </c>
      <c r="G34" s="11"/>
      <c r="H34" s="16">
        <f>F34/8/H21</f>
        <v>12.44526862807803</v>
      </c>
    </row>
    <row r="36" spans="1:9" ht="18" customHeight="1">
      <c r="A36" s="210" t="s">
        <v>83</v>
      </c>
      <c r="B36" s="210"/>
      <c r="C36" s="210"/>
      <c r="D36" s="210"/>
      <c r="E36" s="210"/>
      <c r="F36" s="8">
        <f>D17-F34+D7</f>
        <v>-283983.828</v>
      </c>
      <c r="H36" s="10" t="s">
        <v>80</v>
      </c>
      <c r="I36" s="10">
        <v>1848.31</v>
      </c>
    </row>
    <row r="37" spans="1:6" ht="20.25" customHeight="1">
      <c r="A37" s="274" t="s">
        <v>65</v>
      </c>
      <c r="B37" s="274"/>
      <c r="C37" s="274"/>
      <c r="D37" s="274"/>
      <c r="E37" s="274"/>
      <c r="F37" s="8">
        <f>F17</f>
        <v>-145243.41</v>
      </c>
    </row>
    <row r="38" spans="1:6" ht="18" customHeight="1">
      <c r="A38" s="212" t="s">
        <v>82</v>
      </c>
      <c r="B38" s="212"/>
      <c r="C38" s="212"/>
      <c r="D38" s="212"/>
      <c r="E38" s="212"/>
      <c r="F38" s="8">
        <f>F11</f>
        <v>-83860.14</v>
      </c>
    </row>
    <row r="39" ht="11.25" customHeight="1"/>
    <row r="41" spans="1:6" ht="14.25">
      <c r="A41" s="48" t="s">
        <v>19</v>
      </c>
      <c r="B41" s="48" t="s">
        <v>10</v>
      </c>
      <c r="C41" s="277" t="s">
        <v>17</v>
      </c>
      <c r="D41" s="278"/>
      <c r="E41" s="279"/>
      <c r="F41" s="48" t="s">
        <v>18</v>
      </c>
    </row>
    <row r="42" spans="1:6" s="40" customFormat="1" ht="27" customHeight="1">
      <c r="A42" s="49">
        <v>1</v>
      </c>
      <c r="B42" s="50">
        <v>42029</v>
      </c>
      <c r="C42" s="223" t="s">
        <v>62</v>
      </c>
      <c r="D42" s="224"/>
      <c r="E42" s="225"/>
      <c r="F42" s="51">
        <v>537</v>
      </c>
    </row>
    <row r="43" spans="1:6" s="41" customFormat="1" ht="27.75" customHeight="1">
      <c r="A43" s="52">
        <v>2</v>
      </c>
      <c r="B43" s="53">
        <v>42040</v>
      </c>
      <c r="C43" s="270" t="s">
        <v>52</v>
      </c>
      <c r="D43" s="271"/>
      <c r="E43" s="272"/>
      <c r="F43" s="54">
        <v>47559</v>
      </c>
    </row>
    <row r="44" spans="1:6" s="41" customFormat="1" ht="26.25" customHeight="1">
      <c r="A44" s="52">
        <v>3</v>
      </c>
      <c r="B44" s="53">
        <v>41330</v>
      </c>
      <c r="C44" s="280" t="s">
        <v>62</v>
      </c>
      <c r="D44" s="281"/>
      <c r="E44" s="282"/>
      <c r="F44" s="54">
        <v>537</v>
      </c>
    </row>
    <row r="45" spans="1:6" s="42" customFormat="1" ht="15">
      <c r="A45" s="55">
        <v>4</v>
      </c>
      <c r="B45" s="56">
        <v>42069</v>
      </c>
      <c r="C45" s="263" t="s">
        <v>48</v>
      </c>
      <c r="D45" s="264"/>
      <c r="E45" s="265"/>
      <c r="F45" s="57">
        <v>543</v>
      </c>
    </row>
    <row r="46" spans="1:6" s="42" customFormat="1" ht="15">
      <c r="A46" s="55">
        <v>5</v>
      </c>
      <c r="B46" s="56">
        <v>42074</v>
      </c>
      <c r="C46" s="263" t="s">
        <v>41</v>
      </c>
      <c r="D46" s="264"/>
      <c r="E46" s="265"/>
      <c r="F46" s="57">
        <v>1880</v>
      </c>
    </row>
    <row r="47" spans="1:6" s="42" customFormat="1" ht="26.25" customHeight="1">
      <c r="A47" s="55">
        <v>6</v>
      </c>
      <c r="B47" s="56">
        <v>42088</v>
      </c>
      <c r="C47" s="263" t="s">
        <v>42</v>
      </c>
      <c r="D47" s="264"/>
      <c r="E47" s="265"/>
      <c r="F47" s="57">
        <v>1232</v>
      </c>
    </row>
    <row r="48" spans="1:6" s="42" customFormat="1" ht="25.5" customHeight="1">
      <c r="A48" s="55">
        <v>7</v>
      </c>
      <c r="B48" s="56">
        <v>42089</v>
      </c>
      <c r="C48" s="263" t="s">
        <v>43</v>
      </c>
      <c r="D48" s="264"/>
      <c r="E48" s="265"/>
      <c r="F48" s="57">
        <v>1209</v>
      </c>
    </row>
    <row r="49" spans="1:6" s="42" customFormat="1" ht="25.5" customHeight="1">
      <c r="A49" s="55">
        <v>8</v>
      </c>
      <c r="B49" s="56">
        <v>42088</v>
      </c>
      <c r="C49" s="285" t="s">
        <v>62</v>
      </c>
      <c r="D49" s="286"/>
      <c r="E49" s="287"/>
      <c r="F49" s="58">
        <v>537</v>
      </c>
    </row>
    <row r="50" spans="1:6" s="43" customFormat="1" ht="15">
      <c r="A50" s="59">
        <v>9</v>
      </c>
      <c r="B50" s="60">
        <v>42466</v>
      </c>
      <c r="C50" s="260" t="s">
        <v>38</v>
      </c>
      <c r="D50" s="261"/>
      <c r="E50" s="262"/>
      <c r="F50" s="61">
        <v>11508</v>
      </c>
    </row>
    <row r="51" spans="1:6" s="43" customFormat="1" ht="15">
      <c r="A51" s="59">
        <v>10</v>
      </c>
      <c r="B51" s="62">
        <v>42111</v>
      </c>
      <c r="C51" s="260" t="s">
        <v>45</v>
      </c>
      <c r="D51" s="261"/>
      <c r="E51" s="262"/>
      <c r="F51" s="61">
        <v>604</v>
      </c>
    </row>
    <row r="52" spans="1:6" s="43" customFormat="1" ht="12.75" customHeight="1">
      <c r="A52" s="59">
        <v>11</v>
      </c>
      <c r="B52" s="62">
        <v>42115</v>
      </c>
      <c r="C52" s="260" t="s">
        <v>45</v>
      </c>
      <c r="D52" s="261"/>
      <c r="E52" s="262"/>
      <c r="F52" s="61">
        <v>529</v>
      </c>
    </row>
    <row r="53" spans="1:6" s="43" customFormat="1" ht="26.25" customHeight="1">
      <c r="A53" s="59">
        <v>12</v>
      </c>
      <c r="B53" s="62">
        <v>42122</v>
      </c>
      <c r="C53" s="260" t="s">
        <v>46</v>
      </c>
      <c r="D53" s="261"/>
      <c r="E53" s="262"/>
      <c r="F53" s="61">
        <v>377</v>
      </c>
    </row>
    <row r="54" spans="1:6" s="43" customFormat="1" ht="26.25" customHeight="1">
      <c r="A54" s="59">
        <v>13</v>
      </c>
      <c r="B54" s="62">
        <v>42119</v>
      </c>
      <c r="C54" s="288" t="s">
        <v>62</v>
      </c>
      <c r="D54" s="289"/>
      <c r="E54" s="290"/>
      <c r="F54" s="63">
        <v>537</v>
      </c>
    </row>
    <row r="55" spans="1:6" s="44" customFormat="1" ht="25.5" customHeight="1">
      <c r="A55" s="64">
        <v>14</v>
      </c>
      <c r="B55" s="65">
        <v>42149</v>
      </c>
      <c r="C55" s="291" t="s">
        <v>62</v>
      </c>
      <c r="D55" s="292"/>
      <c r="E55" s="293"/>
      <c r="F55" s="66">
        <v>537</v>
      </c>
    </row>
    <row r="56" spans="1:6" s="45" customFormat="1" ht="15">
      <c r="A56" s="67">
        <v>15</v>
      </c>
      <c r="B56" s="68">
        <v>42156</v>
      </c>
      <c r="C56" s="254" t="s">
        <v>73</v>
      </c>
      <c r="D56" s="255"/>
      <c r="E56" s="256"/>
      <c r="F56" s="69">
        <v>47621</v>
      </c>
    </row>
    <row r="57" spans="1:6" s="45" customFormat="1" ht="15">
      <c r="A57" s="67">
        <v>15</v>
      </c>
      <c r="B57" s="68">
        <v>42159</v>
      </c>
      <c r="C57" s="254" t="s">
        <v>49</v>
      </c>
      <c r="D57" s="255"/>
      <c r="E57" s="256"/>
      <c r="F57" s="69">
        <v>3645</v>
      </c>
    </row>
    <row r="58" spans="1:6" s="45" customFormat="1" ht="26.25" customHeight="1">
      <c r="A58" s="67">
        <v>16</v>
      </c>
      <c r="B58" s="68">
        <v>42165</v>
      </c>
      <c r="C58" s="254" t="s">
        <v>47</v>
      </c>
      <c r="D58" s="255"/>
      <c r="E58" s="256"/>
      <c r="F58" s="69">
        <v>654</v>
      </c>
    </row>
    <row r="59" spans="1:6" s="45" customFormat="1" ht="28.5" customHeight="1">
      <c r="A59" s="67">
        <v>17</v>
      </c>
      <c r="B59" s="68">
        <v>42165</v>
      </c>
      <c r="C59" s="254" t="s">
        <v>46</v>
      </c>
      <c r="D59" s="255"/>
      <c r="E59" s="256"/>
      <c r="F59" s="69">
        <v>654</v>
      </c>
    </row>
    <row r="60" spans="1:6" s="45" customFormat="1" ht="27" customHeight="1">
      <c r="A60" s="67">
        <v>18</v>
      </c>
      <c r="B60" s="68">
        <v>42165</v>
      </c>
      <c r="C60" s="254" t="s">
        <v>39</v>
      </c>
      <c r="D60" s="255"/>
      <c r="E60" s="256"/>
      <c r="F60" s="69">
        <f>1514</f>
        <v>1514</v>
      </c>
    </row>
    <row r="61" spans="1:6" s="45" customFormat="1" ht="26.25" customHeight="1">
      <c r="A61" s="67">
        <v>19</v>
      </c>
      <c r="B61" s="68">
        <v>42171</v>
      </c>
      <c r="C61" s="254" t="s">
        <v>39</v>
      </c>
      <c r="D61" s="255"/>
      <c r="E61" s="256"/>
      <c r="F61" s="69">
        <f>1279</f>
        <v>1279</v>
      </c>
    </row>
    <row r="62" spans="1:6" s="45" customFormat="1" ht="25.5" customHeight="1">
      <c r="A62" s="67">
        <v>20</v>
      </c>
      <c r="B62" s="68">
        <v>42180</v>
      </c>
      <c r="C62" s="297" t="s">
        <v>62</v>
      </c>
      <c r="D62" s="298"/>
      <c r="E62" s="299"/>
      <c r="F62" s="70">
        <v>537</v>
      </c>
    </row>
    <row r="63" spans="1:6" s="45" customFormat="1" ht="15">
      <c r="A63" s="67">
        <v>21</v>
      </c>
      <c r="B63" s="68">
        <v>42184</v>
      </c>
      <c r="C63" s="254" t="s">
        <v>40</v>
      </c>
      <c r="D63" s="255"/>
      <c r="E63" s="256"/>
      <c r="F63" s="69">
        <v>55</v>
      </c>
    </row>
    <row r="64" spans="1:6" s="46" customFormat="1" ht="13.5" customHeight="1">
      <c r="A64" s="71">
        <v>22</v>
      </c>
      <c r="B64" s="72">
        <v>42187</v>
      </c>
      <c r="C64" s="257" t="s">
        <v>50</v>
      </c>
      <c r="D64" s="258"/>
      <c r="E64" s="259"/>
      <c r="F64" s="73">
        <v>492</v>
      </c>
    </row>
    <row r="65" spans="1:6" s="46" customFormat="1" ht="27" customHeight="1">
      <c r="A65" s="71">
        <v>23</v>
      </c>
      <c r="B65" s="74">
        <v>42188</v>
      </c>
      <c r="C65" s="257" t="s">
        <v>44</v>
      </c>
      <c r="D65" s="258"/>
      <c r="E65" s="259"/>
      <c r="F65" s="73">
        <v>1170</v>
      </c>
    </row>
    <row r="66" spans="1:6" s="46" customFormat="1" ht="26.25" customHeight="1">
      <c r="A66" s="71">
        <v>24</v>
      </c>
      <c r="B66" s="74">
        <v>42210</v>
      </c>
      <c r="C66" s="266" t="s">
        <v>62</v>
      </c>
      <c r="D66" s="267"/>
      <c r="E66" s="268"/>
      <c r="F66" s="75">
        <v>537</v>
      </c>
    </row>
    <row r="67" spans="1:6" s="47" customFormat="1" ht="27.75" customHeight="1">
      <c r="A67" s="76"/>
      <c r="B67" s="77">
        <v>42221</v>
      </c>
      <c r="C67" s="248" t="s">
        <v>70</v>
      </c>
      <c r="D67" s="249"/>
      <c r="E67" s="250"/>
      <c r="F67" s="78">
        <v>952</v>
      </c>
    </row>
    <row r="68" spans="1:6" s="47" customFormat="1" ht="29.25" customHeight="1">
      <c r="A68" s="76"/>
      <c r="B68" s="77">
        <v>42228</v>
      </c>
      <c r="C68" s="248" t="s">
        <v>71</v>
      </c>
      <c r="D68" s="249"/>
      <c r="E68" s="250"/>
      <c r="F68" s="78">
        <v>654</v>
      </c>
    </row>
    <row r="69" spans="1:6" s="47" customFormat="1" ht="15">
      <c r="A69" s="76"/>
      <c r="B69" s="77">
        <v>42235</v>
      </c>
      <c r="C69" s="248" t="s">
        <v>74</v>
      </c>
      <c r="D69" s="249"/>
      <c r="E69" s="250"/>
      <c r="F69" s="78">
        <v>5376</v>
      </c>
    </row>
    <row r="70" spans="1:6" s="47" customFormat="1" ht="30" customHeight="1">
      <c r="A70" s="76"/>
      <c r="B70" s="77">
        <v>42241</v>
      </c>
      <c r="C70" s="248" t="s">
        <v>70</v>
      </c>
      <c r="D70" s="249"/>
      <c r="E70" s="250"/>
      <c r="F70" s="78">
        <v>675</v>
      </c>
    </row>
    <row r="71" spans="1:6" s="47" customFormat="1" ht="26.25" customHeight="1">
      <c r="A71" s="76"/>
      <c r="B71" s="77">
        <v>42241</v>
      </c>
      <c r="C71" s="248" t="s">
        <v>62</v>
      </c>
      <c r="D71" s="249"/>
      <c r="E71" s="250"/>
      <c r="F71" s="78">
        <v>537</v>
      </c>
    </row>
    <row r="72" spans="1:6" s="85" customFormat="1" ht="15">
      <c r="A72" s="82"/>
      <c r="B72" s="83">
        <v>42265</v>
      </c>
      <c r="C72" s="251" t="s">
        <v>72</v>
      </c>
      <c r="D72" s="252"/>
      <c r="E72" s="253"/>
      <c r="F72" s="84">
        <v>446</v>
      </c>
    </row>
    <row r="73" spans="1:6" s="85" customFormat="1" ht="26.25" customHeight="1">
      <c r="A73" s="82"/>
      <c r="B73" s="83">
        <v>42272</v>
      </c>
      <c r="C73" s="251" t="s">
        <v>62</v>
      </c>
      <c r="D73" s="252"/>
      <c r="E73" s="253"/>
      <c r="F73" s="84">
        <v>537</v>
      </c>
    </row>
    <row r="74" spans="1:6" s="90" customFormat="1" ht="28.5" customHeight="1">
      <c r="A74" s="87"/>
      <c r="B74" s="88" t="s">
        <v>78</v>
      </c>
      <c r="C74" s="245" t="s">
        <v>77</v>
      </c>
      <c r="D74" s="246"/>
      <c r="E74" s="247"/>
      <c r="F74" s="89">
        <f>2*654</f>
        <v>1308</v>
      </c>
    </row>
    <row r="75" spans="1:6" s="90" customFormat="1" ht="28.5" customHeight="1">
      <c r="A75" s="87"/>
      <c r="B75" s="88">
        <v>42290</v>
      </c>
      <c r="C75" s="245" t="s">
        <v>79</v>
      </c>
      <c r="D75" s="246"/>
      <c r="E75" s="247"/>
      <c r="F75" s="89">
        <v>934</v>
      </c>
    </row>
    <row r="76" spans="1:6" s="90" customFormat="1" ht="33" customHeight="1">
      <c r="A76" s="87"/>
      <c r="B76" s="88">
        <v>42293</v>
      </c>
      <c r="C76" s="245" t="s">
        <v>76</v>
      </c>
      <c r="D76" s="246"/>
      <c r="E76" s="247"/>
      <c r="F76" s="89">
        <v>1485</v>
      </c>
    </row>
    <row r="77" spans="1:6" s="90" customFormat="1" ht="33" customHeight="1">
      <c r="A77" s="87"/>
      <c r="B77" s="88">
        <v>42296</v>
      </c>
      <c r="C77" s="245" t="s">
        <v>77</v>
      </c>
      <c r="D77" s="246"/>
      <c r="E77" s="247"/>
      <c r="F77" s="89">
        <v>654</v>
      </c>
    </row>
    <row r="78" spans="1:6" s="92" customFormat="1" ht="26.25" customHeight="1">
      <c r="A78" s="87"/>
      <c r="B78" s="88">
        <v>42302</v>
      </c>
      <c r="C78" s="294" t="s">
        <v>62</v>
      </c>
      <c r="D78" s="295"/>
      <c r="E78" s="296"/>
      <c r="F78" s="91">
        <v>537</v>
      </c>
    </row>
    <row r="79" spans="1:6" s="90" customFormat="1" ht="33" customHeight="1">
      <c r="A79" s="87"/>
      <c r="B79" s="88">
        <v>42306</v>
      </c>
      <c r="C79" s="245" t="s">
        <v>77</v>
      </c>
      <c r="D79" s="246"/>
      <c r="E79" s="247"/>
      <c r="F79" s="89">
        <v>377</v>
      </c>
    </row>
    <row r="80" spans="1:6" ht="26.25" customHeight="1">
      <c r="A80" s="79"/>
      <c r="B80" s="80">
        <v>42324</v>
      </c>
      <c r="C80" s="242" t="s">
        <v>81</v>
      </c>
      <c r="D80" s="243"/>
      <c r="E80" s="244"/>
      <c r="F80" s="81">
        <v>526</v>
      </c>
    </row>
    <row r="81" spans="1:6" ht="26.25" customHeight="1">
      <c r="A81" s="79"/>
      <c r="B81" s="80">
        <v>42333</v>
      </c>
      <c r="C81" s="242" t="s">
        <v>62</v>
      </c>
      <c r="D81" s="243"/>
      <c r="E81" s="244"/>
      <c r="F81" s="81">
        <v>537</v>
      </c>
    </row>
    <row r="82" spans="1:6" ht="26.25" customHeight="1">
      <c r="A82" s="79"/>
      <c r="B82" s="80">
        <v>42363</v>
      </c>
      <c r="C82" s="242" t="s">
        <v>62</v>
      </c>
      <c r="D82" s="243"/>
      <c r="E82" s="244"/>
      <c r="F82" s="81">
        <v>537</v>
      </c>
    </row>
    <row r="87" spans="1:6" s="16" customFormat="1" ht="12.75">
      <c r="A87" s="300" t="s">
        <v>21</v>
      </c>
      <c r="B87" s="300"/>
      <c r="C87" s="300"/>
      <c r="D87" s="300"/>
      <c r="E87" s="300"/>
      <c r="F87" s="24">
        <f>SUM(F42:F82)</f>
        <v>142356</v>
      </c>
    </row>
  </sheetData>
  <sheetProtection selectLockedCells="1" selectUnlockedCells="1"/>
  <mergeCells count="63">
    <mergeCell ref="C47:E47"/>
    <mergeCell ref="C53:E53"/>
    <mergeCell ref="C56:E56"/>
    <mergeCell ref="C65:E65"/>
    <mergeCell ref="C62:E62"/>
    <mergeCell ref="A87:E87"/>
    <mergeCell ref="C52:E52"/>
    <mergeCell ref="C58:E58"/>
    <mergeCell ref="C59:E59"/>
    <mergeCell ref="C60:E60"/>
    <mergeCell ref="C76:E76"/>
    <mergeCell ref="C64:E64"/>
    <mergeCell ref="C77:E77"/>
    <mergeCell ref="C82:E82"/>
    <mergeCell ref="C79:E79"/>
    <mergeCell ref="C80:E80"/>
    <mergeCell ref="C74:E74"/>
    <mergeCell ref="C81:E81"/>
    <mergeCell ref="C78:E78"/>
    <mergeCell ref="C68:E68"/>
    <mergeCell ref="C48:E48"/>
    <mergeCell ref="C51:E51"/>
    <mergeCell ref="C49:E49"/>
    <mergeCell ref="C63:E63"/>
    <mergeCell ref="C61:E61"/>
    <mergeCell ref="C57:E57"/>
    <mergeCell ref="C50:E50"/>
    <mergeCell ref="C54:E54"/>
    <mergeCell ref="C55:E55"/>
    <mergeCell ref="A1:F1"/>
    <mergeCell ref="A2:F2"/>
    <mergeCell ref="C41:E41"/>
    <mergeCell ref="B28:E28"/>
    <mergeCell ref="B23:E23"/>
    <mergeCell ref="C44:E44"/>
    <mergeCell ref="B30:E30"/>
    <mergeCell ref="B21:E21"/>
    <mergeCell ref="A19:F19"/>
    <mergeCell ref="B22:E22"/>
    <mergeCell ref="B27:E27"/>
    <mergeCell ref="B31:E31"/>
    <mergeCell ref="B29:E29"/>
    <mergeCell ref="B24:E24"/>
    <mergeCell ref="B25:E25"/>
    <mergeCell ref="B26:E26"/>
    <mergeCell ref="B34:E34"/>
    <mergeCell ref="C46:E46"/>
    <mergeCell ref="C45:E45"/>
    <mergeCell ref="C43:E43"/>
    <mergeCell ref="A36:E36"/>
    <mergeCell ref="B32:E32"/>
    <mergeCell ref="C42:E42"/>
    <mergeCell ref="B33:E33"/>
    <mergeCell ref="A37:E37"/>
    <mergeCell ref="A38:E38"/>
    <mergeCell ref="C66:E66"/>
    <mergeCell ref="C75:E75"/>
    <mergeCell ref="C70:E70"/>
    <mergeCell ref="C73:E73"/>
    <mergeCell ref="C69:E69"/>
    <mergeCell ref="C71:E71"/>
    <mergeCell ref="C72:E72"/>
    <mergeCell ref="C67:E6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SheetLayoutView="100" zoomScalePageLayoutView="0" workbookViewId="0" topLeftCell="A64">
      <selection activeCell="B4" sqref="B4"/>
    </sheetView>
  </sheetViews>
  <sheetFormatPr defaultColWidth="9.140625" defaultRowHeight="12.75"/>
  <cols>
    <col min="1" max="1" width="4.421875" style="7" customWidth="1"/>
    <col min="2" max="2" width="15.140625" style="10" customWidth="1"/>
    <col min="3" max="3" width="14.7109375" style="10" customWidth="1"/>
    <col min="4" max="4" width="13.57421875" style="10" customWidth="1"/>
    <col min="5" max="5" width="14.00390625" style="10" customWidth="1"/>
    <col min="6" max="6" width="18.140625" style="10" customWidth="1"/>
    <col min="7" max="7" width="10.140625" style="10" customWidth="1"/>
    <col min="8" max="8" width="9.57421875" style="10" bestFit="1" customWidth="1"/>
    <col min="9" max="9" width="9.140625" style="10" customWidth="1"/>
    <col min="10" max="10" width="11.00390625" style="10" customWidth="1"/>
    <col min="11" max="16384" width="9.140625" style="10" customWidth="1"/>
  </cols>
  <sheetData>
    <row r="1" spans="1:7" ht="12.75">
      <c r="A1" s="276" t="s">
        <v>51</v>
      </c>
      <c r="B1" s="276"/>
      <c r="C1" s="276"/>
      <c r="D1" s="276"/>
      <c r="E1" s="276"/>
      <c r="F1" s="276"/>
      <c r="G1" s="9"/>
    </row>
    <row r="2" spans="1:8" ht="12.75">
      <c r="A2" s="276" t="s">
        <v>31</v>
      </c>
      <c r="B2" s="276"/>
      <c r="C2" s="276"/>
      <c r="D2" s="276"/>
      <c r="E2" s="276"/>
      <c r="F2" s="276"/>
      <c r="G2" s="11"/>
      <c r="H2" s="12"/>
    </row>
    <row r="3" ht="9" customHeight="1"/>
    <row r="4" spans="2:7" ht="12.75">
      <c r="B4" s="13"/>
      <c r="C4" s="13"/>
      <c r="D4" s="13"/>
      <c r="E4" s="13"/>
      <c r="F4" s="13"/>
      <c r="G4" s="13"/>
    </row>
    <row r="5" spans="2:7" ht="12.75">
      <c r="B5" s="13" t="s">
        <v>22</v>
      </c>
      <c r="C5" s="13"/>
      <c r="D5" s="13">
        <v>5315.9</v>
      </c>
      <c r="E5" s="13" t="s">
        <v>23</v>
      </c>
      <c r="F5" s="13"/>
      <c r="G5" s="13"/>
    </row>
    <row r="6" ht="9" customHeight="1"/>
    <row r="7" spans="2:6" ht="12.75">
      <c r="B7" s="11" t="s">
        <v>54</v>
      </c>
      <c r="C7" s="11"/>
      <c r="D7" s="35">
        <v>245278.6</v>
      </c>
      <c r="E7" s="11" t="s">
        <v>55</v>
      </c>
      <c r="F7" s="11"/>
    </row>
    <row r="8" spans="2:6" ht="12.75">
      <c r="B8" s="11" t="s">
        <v>56</v>
      </c>
      <c r="C8" s="13"/>
      <c r="D8" s="36">
        <v>-145243.41</v>
      </c>
      <c r="E8" s="13" t="s">
        <v>57</v>
      </c>
      <c r="F8" s="13"/>
    </row>
    <row r="9" spans="2:6" ht="12.75">
      <c r="B9" s="13"/>
      <c r="C9" s="13"/>
      <c r="D9" s="13"/>
      <c r="E9" s="13"/>
      <c r="F9" s="14" t="s">
        <v>15</v>
      </c>
    </row>
    <row r="10" spans="1:6" s="7" customFormat="1" ht="28.5" customHeight="1">
      <c r="A10" s="19" t="s">
        <v>19</v>
      </c>
      <c r="B10" s="28" t="s">
        <v>37</v>
      </c>
      <c r="C10" s="4" t="s">
        <v>60</v>
      </c>
      <c r="D10" s="4" t="s">
        <v>0</v>
      </c>
      <c r="E10" s="4" t="s">
        <v>14</v>
      </c>
      <c r="F10" s="4" t="s">
        <v>61</v>
      </c>
    </row>
    <row r="11" spans="1:8" ht="30" customHeight="1">
      <c r="A11" s="29">
        <v>1</v>
      </c>
      <c r="B11" s="26" t="s">
        <v>24</v>
      </c>
      <c r="C11" s="27">
        <v>-83860.14</v>
      </c>
      <c r="D11" s="30">
        <f>242275.6-535.3+81112.32</f>
        <v>322852.62</v>
      </c>
      <c r="E11" s="30">
        <f>70153.35+179231.23</f>
        <v>249384.58000000002</v>
      </c>
      <c r="F11" s="30">
        <f aca="true" t="shared" si="0" ref="F11:F16">C11-D11+E11</f>
        <v>-157328.18</v>
      </c>
      <c r="G11" s="25"/>
      <c r="H11" s="25"/>
    </row>
    <row r="12" spans="1:8" ht="30" customHeight="1">
      <c r="A12" s="29">
        <v>2</v>
      </c>
      <c r="B12" s="26" t="s">
        <v>25</v>
      </c>
      <c r="C12" s="27">
        <v>-7239.44</v>
      </c>
      <c r="D12" s="30">
        <f>25197.38+11107.09</f>
        <v>36304.47</v>
      </c>
      <c r="E12" s="30">
        <f>9628.54+18657.06</f>
        <v>28285.600000000002</v>
      </c>
      <c r="F12" s="30">
        <f t="shared" si="0"/>
        <v>-15258.310000000001</v>
      </c>
      <c r="G12" s="25"/>
      <c r="H12" s="25"/>
    </row>
    <row r="13" spans="1:8" ht="29.25" customHeight="1">
      <c r="A13" s="29">
        <v>3</v>
      </c>
      <c r="B13" s="26" t="s">
        <v>26</v>
      </c>
      <c r="C13" s="27">
        <v>-12370.01</v>
      </c>
      <c r="D13" s="30">
        <f>14851.73+44333.7</f>
        <v>59185.42999999999</v>
      </c>
      <c r="E13" s="30">
        <f>12090.34+32826.41</f>
        <v>44916.75</v>
      </c>
      <c r="F13" s="30">
        <f t="shared" si="0"/>
        <v>-26638.689999999988</v>
      </c>
      <c r="G13" s="25"/>
      <c r="H13" s="25"/>
    </row>
    <row r="14" spans="1:8" ht="30" customHeight="1">
      <c r="A14" s="29">
        <v>4</v>
      </c>
      <c r="B14" s="26" t="s">
        <v>27</v>
      </c>
      <c r="C14" s="27">
        <v>-14937.93</v>
      </c>
      <c r="D14" s="30">
        <f>10646.19+8854.97</f>
        <v>19501.16</v>
      </c>
      <c r="E14" s="30">
        <f>11594.75+3777.97</f>
        <v>15372.72</v>
      </c>
      <c r="F14" s="30">
        <f t="shared" si="0"/>
        <v>-19066.369999999995</v>
      </c>
      <c r="G14" s="25"/>
      <c r="H14" s="25"/>
    </row>
    <row r="15" spans="1:8" ht="30" customHeight="1">
      <c r="A15" s="29">
        <v>5</v>
      </c>
      <c r="B15" s="26" t="s">
        <v>28</v>
      </c>
      <c r="C15" s="27">
        <v>-9487.33</v>
      </c>
      <c r="D15" s="30">
        <f>165000.24-55000.08</f>
        <v>110000.15999999999</v>
      </c>
      <c r="E15" s="30">
        <v>103916.82</v>
      </c>
      <c r="F15" s="30">
        <f t="shared" si="0"/>
        <v>-15570.669999999984</v>
      </c>
      <c r="G15" s="25"/>
      <c r="H15" s="25"/>
    </row>
    <row r="16" spans="1:8" ht="30" customHeight="1">
      <c r="A16" s="29">
        <v>6</v>
      </c>
      <c r="B16" s="26" t="s">
        <v>29</v>
      </c>
      <c r="C16" s="27">
        <v>-17348.56</v>
      </c>
      <c r="D16" s="30">
        <f>19942.54+59324.34</f>
        <v>79266.88</v>
      </c>
      <c r="E16" s="30">
        <f>16105.13+43926.16</f>
        <v>60031.29</v>
      </c>
      <c r="F16" s="30">
        <f t="shared" si="0"/>
        <v>-36584.15</v>
      </c>
      <c r="G16" s="25"/>
      <c r="H16" s="25"/>
    </row>
    <row r="17" spans="1:6" ht="26.25" customHeight="1">
      <c r="A17" s="19"/>
      <c r="B17" s="26" t="s">
        <v>1</v>
      </c>
      <c r="C17" s="27">
        <f>SUM(C11:C16)</f>
        <v>-145243.41</v>
      </c>
      <c r="D17" s="27">
        <f>SUM(D11:D16)</f>
        <v>627110.72</v>
      </c>
      <c r="E17" s="27">
        <f>SUM(E11:E16)</f>
        <v>501907.75999999995</v>
      </c>
      <c r="F17" s="27">
        <f>SUM(F11:F16)</f>
        <v>-270446.37</v>
      </c>
    </row>
    <row r="18" ht="11.25" customHeight="1"/>
    <row r="19" spans="1:6" ht="12.75">
      <c r="A19" s="276" t="s">
        <v>20</v>
      </c>
      <c r="B19" s="276"/>
      <c r="C19" s="276"/>
      <c r="D19" s="276"/>
      <c r="E19" s="276"/>
      <c r="F19" s="276"/>
    </row>
    <row r="20" spans="1:8" ht="12.75">
      <c r="A20" s="9"/>
      <c r="B20" s="9"/>
      <c r="C20" s="9"/>
      <c r="D20" s="9"/>
      <c r="E20" s="9"/>
      <c r="F20" s="9"/>
      <c r="H20" s="10" t="s">
        <v>30</v>
      </c>
    </row>
    <row r="21" spans="1:8" ht="33" customHeight="1">
      <c r="A21" s="4" t="s">
        <v>16</v>
      </c>
      <c r="B21" s="283" t="s">
        <v>2</v>
      </c>
      <c r="C21" s="283"/>
      <c r="D21" s="283"/>
      <c r="E21" s="283"/>
      <c r="F21" s="5" t="s">
        <v>3</v>
      </c>
      <c r="G21" s="6"/>
      <c r="H21" s="10">
        <v>5315.9</v>
      </c>
    </row>
    <row r="22" spans="1:10" ht="18" customHeight="1">
      <c r="A22" s="3">
        <v>1</v>
      </c>
      <c r="B22" s="284" t="s">
        <v>4</v>
      </c>
      <c r="C22" s="284"/>
      <c r="D22" s="284"/>
      <c r="E22" s="284"/>
      <c r="F22" s="37">
        <f>2.69*H21*8</f>
        <v>114398.16799999999</v>
      </c>
      <c r="G22" s="15"/>
      <c r="H22" s="10" t="s">
        <v>32</v>
      </c>
      <c r="I22" s="10" t="s">
        <v>33</v>
      </c>
      <c r="J22" s="10" t="s">
        <v>34</v>
      </c>
    </row>
    <row r="23" spans="1:10" ht="18" customHeight="1">
      <c r="A23" s="1">
        <v>2</v>
      </c>
      <c r="B23" s="275" t="s">
        <v>5</v>
      </c>
      <c r="C23" s="275"/>
      <c r="D23" s="275"/>
      <c r="E23" s="275"/>
      <c r="F23" s="38">
        <f>0.19*6*H21+0.21*2*H21</f>
        <v>8292.804</v>
      </c>
      <c r="G23" s="15"/>
      <c r="I23" s="10">
        <v>5435</v>
      </c>
      <c r="J23" s="10">
        <v>5707</v>
      </c>
    </row>
    <row r="24" spans="1:7" ht="18" customHeight="1">
      <c r="A24" s="1">
        <v>3</v>
      </c>
      <c r="B24" s="275" t="s">
        <v>35</v>
      </c>
      <c r="C24" s="275"/>
      <c r="D24" s="275"/>
      <c r="E24" s="275"/>
      <c r="F24" s="38">
        <f>G24</f>
        <v>82502.768</v>
      </c>
      <c r="G24" s="15">
        <f>(1.94)*8*D5</f>
        <v>82502.768</v>
      </c>
    </row>
    <row r="25" spans="1:7" ht="18" customHeight="1">
      <c r="A25" s="1">
        <v>4</v>
      </c>
      <c r="B25" s="275" t="s">
        <v>36</v>
      </c>
      <c r="C25" s="275"/>
      <c r="D25" s="275"/>
      <c r="E25" s="275"/>
      <c r="F25" s="38">
        <f>D13</f>
        <v>59185.42999999999</v>
      </c>
      <c r="G25" s="15">
        <f>1.39*8*D5</f>
        <v>59112.80799999999</v>
      </c>
    </row>
    <row r="26" spans="1:7" ht="18" customHeight="1">
      <c r="A26" s="1">
        <v>5</v>
      </c>
      <c r="B26" s="275" t="s">
        <v>6</v>
      </c>
      <c r="C26" s="275"/>
      <c r="D26" s="275"/>
      <c r="E26" s="275"/>
      <c r="F26" s="38">
        <f>F27+F28+F29</f>
        <v>78126</v>
      </c>
      <c r="G26" s="15"/>
    </row>
    <row r="27" spans="1:7" ht="16.5" customHeight="1">
      <c r="A27" s="1" t="s">
        <v>7</v>
      </c>
      <c r="B27" s="275" t="s">
        <v>11</v>
      </c>
      <c r="C27" s="275"/>
      <c r="D27" s="275"/>
      <c r="E27" s="275"/>
      <c r="F27" s="39">
        <f>F48+F53+F58+F64</f>
        <v>3410</v>
      </c>
      <c r="G27" s="13"/>
    </row>
    <row r="28" spans="1:7" ht="16.5" customHeight="1">
      <c r="A28" s="1" t="s">
        <v>7</v>
      </c>
      <c r="B28" s="275" t="s">
        <v>12</v>
      </c>
      <c r="C28" s="275"/>
      <c r="D28" s="275"/>
      <c r="E28" s="275"/>
      <c r="F28" s="39">
        <f>F45+F49+F50+F51+F52+F55+F59+F60+F61+F62+F63+F65+F42+F43+F44</f>
        <v>67305</v>
      </c>
      <c r="G28" s="13"/>
    </row>
    <row r="29" spans="1:7" ht="16.5" customHeight="1">
      <c r="A29" s="1" t="s">
        <v>7</v>
      </c>
      <c r="B29" s="275" t="s">
        <v>13</v>
      </c>
      <c r="C29" s="275"/>
      <c r="D29" s="275"/>
      <c r="E29" s="275"/>
      <c r="F29" s="39">
        <f>F46+F47+F56+F57</f>
        <v>7411</v>
      </c>
      <c r="G29" s="13"/>
    </row>
    <row r="30" spans="1:7" ht="17.25" customHeight="1">
      <c r="A30" s="1">
        <v>6</v>
      </c>
      <c r="B30" s="273" t="s">
        <v>25</v>
      </c>
      <c r="C30" s="273"/>
      <c r="D30" s="273"/>
      <c r="E30" s="273"/>
      <c r="F30" s="39">
        <f>D12</f>
        <v>36304.47</v>
      </c>
      <c r="G30" s="13"/>
    </row>
    <row r="31" spans="1:7" ht="17.25" customHeight="1">
      <c r="A31" s="1">
        <v>7</v>
      </c>
      <c r="B31" s="273" t="s">
        <v>27</v>
      </c>
      <c r="C31" s="273"/>
      <c r="D31" s="273"/>
      <c r="E31" s="273"/>
      <c r="F31" s="39">
        <f>D14</f>
        <v>19501.16</v>
      </c>
      <c r="G31" s="13"/>
    </row>
    <row r="32" spans="1:7" ht="17.25" customHeight="1">
      <c r="A32" s="1">
        <v>8</v>
      </c>
      <c r="B32" s="273" t="s">
        <v>53</v>
      </c>
      <c r="C32" s="273"/>
      <c r="D32" s="273"/>
      <c r="E32" s="273"/>
      <c r="F32" s="39">
        <f>D15</f>
        <v>110000.15999999999</v>
      </c>
      <c r="G32" s="13"/>
    </row>
    <row r="33" spans="1:7" ht="17.25" customHeight="1">
      <c r="A33" s="1">
        <v>9</v>
      </c>
      <c r="B33" s="273" t="s">
        <v>29</v>
      </c>
      <c r="C33" s="273"/>
      <c r="D33" s="273"/>
      <c r="E33" s="273"/>
      <c r="F33" s="39">
        <f>D16</f>
        <v>79266.88</v>
      </c>
      <c r="G33" s="13"/>
    </row>
    <row r="34" spans="1:8" s="16" customFormat="1" ht="21" customHeight="1">
      <c r="A34" s="17"/>
      <c r="B34" s="269" t="s">
        <v>8</v>
      </c>
      <c r="C34" s="269"/>
      <c r="D34" s="269"/>
      <c r="E34" s="269"/>
      <c r="F34" s="2">
        <f>F22+F23+F24+F26+F33+F25+F30+F31+F32</f>
        <v>587577.84</v>
      </c>
      <c r="G34" s="11"/>
      <c r="H34" s="16">
        <f>F34/8/H21</f>
        <v>13.816518369420042</v>
      </c>
    </row>
    <row r="36" spans="1:6" ht="18" customHeight="1">
      <c r="A36" s="274" t="s">
        <v>59</v>
      </c>
      <c r="B36" s="274"/>
      <c r="C36" s="274"/>
      <c r="D36" s="274"/>
      <c r="E36" s="274"/>
      <c r="F36" s="8">
        <f>D17-F34+D7</f>
        <v>284811.48</v>
      </c>
    </row>
    <row r="37" spans="1:6" ht="20.25" customHeight="1">
      <c r="A37" s="274" t="s">
        <v>58</v>
      </c>
      <c r="B37" s="274"/>
      <c r="C37" s="274"/>
      <c r="D37" s="274"/>
      <c r="E37" s="274"/>
      <c r="F37" s="8">
        <f>F17</f>
        <v>-270446.37</v>
      </c>
    </row>
    <row r="38" spans="1:6" ht="18" customHeight="1">
      <c r="A38" s="307" t="s">
        <v>9</v>
      </c>
      <c r="B38" s="307"/>
      <c r="C38" s="307"/>
      <c r="D38" s="307"/>
      <c r="E38" s="307"/>
      <c r="F38" s="8">
        <f>F11</f>
        <v>-157328.18</v>
      </c>
    </row>
    <row r="39" ht="11.25" customHeight="1"/>
    <row r="41" spans="1:6" ht="15">
      <c r="A41" s="18" t="s">
        <v>19</v>
      </c>
      <c r="B41" s="18" t="s">
        <v>10</v>
      </c>
      <c r="C41" s="308" t="s">
        <v>17</v>
      </c>
      <c r="D41" s="309"/>
      <c r="E41" s="310"/>
      <c r="F41" s="18" t="s">
        <v>18</v>
      </c>
    </row>
    <row r="42" spans="1:6" s="34" customFormat="1" ht="27" customHeight="1">
      <c r="A42" s="32">
        <v>1</v>
      </c>
      <c r="B42" s="33">
        <v>41299</v>
      </c>
      <c r="C42" s="301" t="s">
        <v>62</v>
      </c>
      <c r="D42" s="302"/>
      <c r="E42" s="303"/>
      <c r="F42" s="31">
        <v>537</v>
      </c>
    </row>
    <row r="43" spans="1:6" s="34" customFormat="1" ht="27.75" customHeight="1">
      <c r="A43" s="32">
        <v>2</v>
      </c>
      <c r="B43" s="21">
        <v>42040</v>
      </c>
      <c r="C43" s="304" t="s">
        <v>52</v>
      </c>
      <c r="D43" s="305"/>
      <c r="E43" s="306"/>
      <c r="F43" s="20">
        <v>47559</v>
      </c>
    </row>
    <row r="44" spans="1:6" s="34" customFormat="1" ht="26.25" customHeight="1">
      <c r="A44" s="32">
        <v>3</v>
      </c>
      <c r="B44" s="21">
        <v>41330</v>
      </c>
      <c r="C44" s="301" t="s">
        <v>62</v>
      </c>
      <c r="D44" s="302"/>
      <c r="E44" s="303"/>
      <c r="F44" s="20">
        <v>537</v>
      </c>
    </row>
    <row r="45" spans="1:6" ht="12.75">
      <c r="A45" s="32">
        <v>4</v>
      </c>
      <c r="B45" s="21">
        <v>42069</v>
      </c>
      <c r="C45" s="304" t="s">
        <v>48</v>
      </c>
      <c r="D45" s="305"/>
      <c r="E45" s="306"/>
      <c r="F45" s="20">
        <v>543</v>
      </c>
    </row>
    <row r="46" spans="1:6" ht="12.75">
      <c r="A46" s="32">
        <v>5</v>
      </c>
      <c r="B46" s="21">
        <v>42074</v>
      </c>
      <c r="C46" s="304" t="s">
        <v>41</v>
      </c>
      <c r="D46" s="305"/>
      <c r="E46" s="306"/>
      <c r="F46" s="20">
        <v>1880</v>
      </c>
    </row>
    <row r="47" spans="1:6" ht="26.25" customHeight="1">
      <c r="A47" s="32">
        <v>6</v>
      </c>
      <c r="B47" s="21">
        <v>42088</v>
      </c>
      <c r="C47" s="304" t="s">
        <v>42</v>
      </c>
      <c r="D47" s="305"/>
      <c r="E47" s="306"/>
      <c r="F47" s="20">
        <v>1232</v>
      </c>
    </row>
    <row r="48" spans="1:6" ht="25.5" customHeight="1">
      <c r="A48" s="32">
        <v>7</v>
      </c>
      <c r="B48" s="21">
        <v>42089</v>
      </c>
      <c r="C48" s="304" t="s">
        <v>43</v>
      </c>
      <c r="D48" s="305"/>
      <c r="E48" s="306"/>
      <c r="F48" s="20">
        <v>1209</v>
      </c>
    </row>
    <row r="49" spans="1:6" ht="25.5" customHeight="1">
      <c r="A49" s="32">
        <v>8</v>
      </c>
      <c r="B49" s="21">
        <v>42088</v>
      </c>
      <c r="C49" s="301" t="s">
        <v>62</v>
      </c>
      <c r="D49" s="302"/>
      <c r="E49" s="303"/>
      <c r="F49" s="31">
        <v>537</v>
      </c>
    </row>
    <row r="50" spans="1:6" ht="12.75">
      <c r="A50" s="32">
        <v>9</v>
      </c>
      <c r="B50" s="22">
        <v>42466</v>
      </c>
      <c r="C50" s="304" t="s">
        <v>38</v>
      </c>
      <c r="D50" s="305"/>
      <c r="E50" s="306"/>
      <c r="F50" s="20">
        <v>11508</v>
      </c>
    </row>
    <row r="51" spans="1:6" ht="12.75">
      <c r="A51" s="32">
        <v>10</v>
      </c>
      <c r="B51" s="21">
        <v>42111</v>
      </c>
      <c r="C51" s="304" t="s">
        <v>45</v>
      </c>
      <c r="D51" s="305"/>
      <c r="E51" s="306"/>
      <c r="F51" s="20">
        <v>604</v>
      </c>
    </row>
    <row r="52" spans="1:6" ht="12.75" customHeight="1">
      <c r="A52" s="32">
        <v>11</v>
      </c>
      <c r="B52" s="21">
        <v>42115</v>
      </c>
      <c r="C52" s="304" t="s">
        <v>45</v>
      </c>
      <c r="D52" s="305"/>
      <c r="E52" s="306"/>
      <c r="F52" s="20">
        <v>529</v>
      </c>
    </row>
    <row r="53" spans="1:6" ht="26.25" customHeight="1">
      <c r="A53" s="32">
        <v>12</v>
      </c>
      <c r="B53" s="21">
        <v>42122</v>
      </c>
      <c r="C53" s="304" t="s">
        <v>46</v>
      </c>
      <c r="D53" s="305"/>
      <c r="E53" s="306"/>
      <c r="F53" s="20">
        <v>377</v>
      </c>
    </row>
    <row r="54" spans="1:6" ht="26.25" customHeight="1">
      <c r="A54" s="32">
        <v>13</v>
      </c>
      <c r="B54" s="21">
        <v>42119</v>
      </c>
      <c r="C54" s="301" t="s">
        <v>62</v>
      </c>
      <c r="D54" s="302"/>
      <c r="E54" s="303"/>
      <c r="F54" s="31">
        <v>537</v>
      </c>
    </row>
    <row r="55" spans="1:6" ht="25.5" customHeight="1">
      <c r="A55" s="32">
        <v>14</v>
      </c>
      <c r="B55" s="21">
        <v>42149</v>
      </c>
      <c r="C55" s="301" t="s">
        <v>62</v>
      </c>
      <c r="D55" s="302"/>
      <c r="E55" s="303"/>
      <c r="F55" s="31">
        <v>537</v>
      </c>
    </row>
    <row r="56" spans="1:6" ht="12.75">
      <c r="A56" s="32">
        <v>15</v>
      </c>
      <c r="B56" s="21">
        <v>42159</v>
      </c>
      <c r="C56" s="304" t="s">
        <v>49</v>
      </c>
      <c r="D56" s="305"/>
      <c r="E56" s="306"/>
      <c r="F56" s="20">
        <v>3645</v>
      </c>
    </row>
    <row r="57" spans="1:6" ht="26.25" customHeight="1">
      <c r="A57" s="32">
        <v>16</v>
      </c>
      <c r="B57" s="23">
        <v>42165</v>
      </c>
      <c r="C57" s="304" t="s">
        <v>47</v>
      </c>
      <c r="D57" s="305"/>
      <c r="E57" s="306"/>
      <c r="F57" s="20">
        <v>654</v>
      </c>
    </row>
    <row r="58" spans="1:6" ht="28.5" customHeight="1">
      <c r="A58" s="32">
        <v>17</v>
      </c>
      <c r="B58" s="21">
        <v>42165</v>
      </c>
      <c r="C58" s="304" t="s">
        <v>46</v>
      </c>
      <c r="D58" s="305"/>
      <c r="E58" s="306"/>
      <c r="F58" s="20">
        <v>654</v>
      </c>
    </row>
    <row r="59" spans="1:6" ht="27" customHeight="1">
      <c r="A59" s="32">
        <v>18</v>
      </c>
      <c r="B59" s="21">
        <v>42165</v>
      </c>
      <c r="C59" s="304" t="s">
        <v>39</v>
      </c>
      <c r="D59" s="305"/>
      <c r="E59" s="306"/>
      <c r="F59" s="20">
        <f>1514</f>
        <v>1514</v>
      </c>
    </row>
    <row r="60" spans="1:6" ht="26.25" customHeight="1">
      <c r="A60" s="32">
        <v>19</v>
      </c>
      <c r="B60" s="21">
        <v>42171</v>
      </c>
      <c r="C60" s="304" t="s">
        <v>39</v>
      </c>
      <c r="D60" s="305"/>
      <c r="E60" s="306"/>
      <c r="F60" s="20">
        <f>1279</f>
        <v>1279</v>
      </c>
    </row>
    <row r="61" spans="1:6" ht="25.5" customHeight="1">
      <c r="A61" s="32">
        <v>20</v>
      </c>
      <c r="B61" s="21">
        <v>42180</v>
      </c>
      <c r="C61" s="301" t="s">
        <v>62</v>
      </c>
      <c r="D61" s="302"/>
      <c r="E61" s="303"/>
      <c r="F61" s="31">
        <v>537</v>
      </c>
    </row>
    <row r="62" spans="1:6" ht="12.75">
      <c r="A62" s="32">
        <v>21</v>
      </c>
      <c r="B62" s="21">
        <v>42184</v>
      </c>
      <c r="C62" s="304" t="s">
        <v>40</v>
      </c>
      <c r="D62" s="305"/>
      <c r="E62" s="306"/>
      <c r="F62" s="20">
        <v>55</v>
      </c>
    </row>
    <row r="63" spans="1:6" ht="13.5" customHeight="1">
      <c r="A63" s="32">
        <v>22</v>
      </c>
      <c r="B63" s="22">
        <v>42187</v>
      </c>
      <c r="C63" s="304" t="s">
        <v>50</v>
      </c>
      <c r="D63" s="305"/>
      <c r="E63" s="306"/>
      <c r="F63" s="20">
        <v>492</v>
      </c>
    </row>
    <row r="64" spans="1:6" ht="27" customHeight="1">
      <c r="A64" s="32">
        <v>23</v>
      </c>
      <c r="B64" s="21">
        <v>42188</v>
      </c>
      <c r="C64" s="304" t="s">
        <v>44</v>
      </c>
      <c r="D64" s="305"/>
      <c r="E64" s="306"/>
      <c r="F64" s="20">
        <v>1170</v>
      </c>
    </row>
    <row r="65" spans="1:6" ht="26.25" customHeight="1">
      <c r="A65" s="32">
        <v>24</v>
      </c>
      <c r="B65" s="21">
        <v>42210</v>
      </c>
      <c r="C65" s="301" t="s">
        <v>62</v>
      </c>
      <c r="D65" s="302"/>
      <c r="E65" s="303"/>
      <c r="F65" s="31">
        <v>537</v>
      </c>
    </row>
    <row r="66" spans="1:6" s="16" customFormat="1" ht="12.75">
      <c r="A66" s="300" t="s">
        <v>21</v>
      </c>
      <c r="B66" s="300"/>
      <c r="C66" s="300"/>
      <c r="D66" s="300"/>
      <c r="E66" s="300"/>
      <c r="F66" s="24">
        <f>SUM(F42:F65)</f>
        <v>78663</v>
      </c>
    </row>
    <row r="68" spans="1:6" ht="26.25" customHeight="1">
      <c r="A68" s="32"/>
      <c r="B68" s="21">
        <v>42241</v>
      </c>
      <c r="C68" s="301" t="s">
        <v>62</v>
      </c>
      <c r="D68" s="302"/>
      <c r="E68" s="303"/>
      <c r="F68" s="31">
        <v>537</v>
      </c>
    </row>
    <row r="69" spans="1:6" ht="26.25" customHeight="1">
      <c r="A69" s="32"/>
      <c r="B69" s="21">
        <v>42272</v>
      </c>
      <c r="C69" s="301" t="s">
        <v>62</v>
      </c>
      <c r="D69" s="302"/>
      <c r="E69" s="303"/>
      <c r="F69" s="31">
        <v>537</v>
      </c>
    </row>
    <row r="70" spans="1:6" ht="26.25" customHeight="1">
      <c r="A70" s="32"/>
      <c r="B70" s="21">
        <v>42302</v>
      </c>
      <c r="C70" s="301" t="s">
        <v>62</v>
      </c>
      <c r="D70" s="302"/>
      <c r="E70" s="303"/>
      <c r="F70" s="31">
        <v>537</v>
      </c>
    </row>
    <row r="71" spans="1:6" ht="26.25" customHeight="1">
      <c r="A71" s="32"/>
      <c r="B71" s="21">
        <v>42333</v>
      </c>
      <c r="C71" s="301" t="s">
        <v>62</v>
      </c>
      <c r="D71" s="302"/>
      <c r="E71" s="303"/>
      <c r="F71" s="31">
        <v>537</v>
      </c>
    </row>
    <row r="72" spans="1:6" ht="26.25" customHeight="1">
      <c r="A72" s="32"/>
      <c r="B72" s="21">
        <v>42363</v>
      </c>
      <c r="C72" s="301" t="s">
        <v>62</v>
      </c>
      <c r="D72" s="302"/>
      <c r="E72" s="303"/>
      <c r="F72" s="31">
        <v>537</v>
      </c>
    </row>
  </sheetData>
  <sheetProtection selectLockedCells="1" selectUnlockedCells="1"/>
  <mergeCells count="51"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A36:E36"/>
    <mergeCell ref="A37:E37"/>
    <mergeCell ref="A38:E38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70:E70"/>
    <mergeCell ref="C71:E71"/>
    <mergeCell ref="C72:E72"/>
    <mergeCell ref="C63:E63"/>
    <mergeCell ref="C64:E64"/>
    <mergeCell ref="C65:E65"/>
    <mergeCell ref="A66:E66"/>
    <mergeCell ref="C68:E68"/>
    <mergeCell ref="C69:E6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2017-05-23T10:36:55Z</cp:lastPrinted>
  <dcterms:created xsi:type="dcterms:W3CDTF">2015-10-08T14:16:11Z</dcterms:created>
  <dcterms:modified xsi:type="dcterms:W3CDTF">2018-03-28T10:10:29Z</dcterms:modified>
  <cp:category/>
  <cp:version/>
  <cp:contentType/>
  <cp:contentStatus/>
</cp:coreProperties>
</file>