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2017" sheetId="1" r:id="rId1"/>
    <sheet name="2016" sheetId="2" r:id="rId2"/>
    <sheet name="2015 НЬЮ (2)" sheetId="3" r:id="rId3"/>
    <sheet name="2015 НЬЮ" sheetId="4" r:id="rId4"/>
    <sheet name="2015" sheetId="5" r:id="rId5"/>
  </sheets>
  <definedNames>
    <definedName name="_xlnm.Print_Area" localSheetId="4">'2015'!$A$1:$F$78</definedName>
    <definedName name="_xlnm.Print_Area" localSheetId="3">'2015 НЬЮ'!$A$1:$F$78</definedName>
    <definedName name="_xlnm.Print_Area" localSheetId="2">'2015 НЬЮ (2)'!$A$1:$F$79</definedName>
    <definedName name="_xlnm.Print_Area" localSheetId="1">'2016'!$A$1:$F$153</definedName>
  </definedNames>
  <calcPr fullCalcOnLoad="1" refMode="R1C1"/>
</workbook>
</file>

<file path=xl/sharedStrings.xml><?xml version="1.0" encoding="utf-8"?>
<sst xmlns="http://schemas.openxmlformats.org/spreadsheetml/2006/main" count="811" uniqueCount="211">
  <si>
    <t>Начислено</t>
  </si>
  <si>
    <t>Содержание жилья</t>
  </si>
  <si>
    <t>Вывоз ТБО</t>
  </si>
  <si>
    <t>Итого</t>
  </si>
  <si>
    <t>Вид</t>
  </si>
  <si>
    <t>Услуги управления</t>
  </si>
  <si>
    <t>Содержание общего имущества, в т.ч.</t>
  </si>
  <si>
    <t>-</t>
  </si>
  <si>
    <t>Всего работ за период</t>
  </si>
  <si>
    <t>Дата</t>
  </si>
  <si>
    <t>Сумма, рублей</t>
  </si>
  <si>
    <t xml:space="preserve">Общая плошадь квартир </t>
  </si>
  <si>
    <t>кв.м.</t>
  </si>
  <si>
    <t>руб.</t>
  </si>
  <si>
    <t>№</t>
  </si>
  <si>
    <t>Услуга</t>
  </si>
  <si>
    <t>Оплачено</t>
  </si>
  <si>
    <t>Расходы по обслуживанию МКД</t>
  </si>
  <si>
    <t>площадь</t>
  </si>
  <si>
    <t>з/п</t>
  </si>
  <si>
    <t>дворника</t>
  </si>
  <si>
    <t>уборщицы</t>
  </si>
  <si>
    <t>Санитарное содержание прилегающей территории</t>
  </si>
  <si>
    <t>Сантехнические работы</t>
  </si>
  <si>
    <t>Электромонтажные работы</t>
  </si>
  <si>
    <t>Общестроительные работы</t>
  </si>
  <si>
    <t>Вид работ</t>
  </si>
  <si>
    <t>Ст-ть работ</t>
  </si>
  <si>
    <t>ИТОГО:</t>
  </si>
  <si>
    <t>Персонифицированный учет МКД  за  2015 г.</t>
  </si>
  <si>
    <t>Задолженность на 31.12.2015г</t>
  </si>
  <si>
    <r>
      <t xml:space="preserve">№ </t>
    </r>
    <r>
      <rPr>
        <b/>
        <sz val="12"/>
        <rFont val="Times New Roman"/>
        <family val="1"/>
      </rPr>
      <t>п/п</t>
    </r>
  </si>
  <si>
    <t>тариф</t>
  </si>
  <si>
    <t>упр-е</t>
  </si>
  <si>
    <t>Обслуживание ВГО</t>
  </si>
  <si>
    <t>Электроэнергия МОП</t>
  </si>
  <si>
    <t>Вывоз и складирование ТБО</t>
  </si>
  <si>
    <t>двор</t>
  </si>
  <si>
    <t>Ул. П.Железняка, д. 4 - 10</t>
  </si>
  <si>
    <t>осмотр э/сетей</t>
  </si>
  <si>
    <t>осмотр э/сетей, смена ламп в МОП, ремонтные работы</t>
  </si>
  <si>
    <t>снятие показаний приборов учета э/э</t>
  </si>
  <si>
    <t>+окос</t>
  </si>
  <si>
    <t>замена дверных доводчиков</t>
  </si>
  <si>
    <t>осмотр систем водоснабжения, водоотведения, ремонтные работы</t>
  </si>
  <si>
    <t>осмотр системы отопления, проверка отопительных приборов на прогрев</t>
  </si>
  <si>
    <t>осмотр э/сетей, смена ламп в МОП</t>
  </si>
  <si>
    <t>с марта то итп</t>
  </si>
  <si>
    <t>дератизация подвала</t>
  </si>
  <si>
    <t>ремонт лифта (№10)</t>
  </si>
  <si>
    <t>диагностика и ремонт домофона</t>
  </si>
  <si>
    <t>осмотр систем водоснабжения, водоотведения</t>
  </si>
  <si>
    <t>частичный ремонт канализации</t>
  </si>
  <si>
    <t>осмотр э/сетей, смена ламп</t>
  </si>
  <si>
    <t>ежемесячно</t>
  </si>
  <si>
    <t>Задолженность населения на 31.12.2015 г.</t>
  </si>
  <si>
    <t>Справочно: финансовый результат с учетом задолженности</t>
  </si>
  <si>
    <t>осмотр э/сетей, смена ламп, ремонт</t>
  </si>
  <si>
    <t>Сальдо на 31.12.2015 г.</t>
  </si>
  <si>
    <t>аварийно-ремонтные работы системы отопления</t>
  </si>
  <si>
    <t>Обслуживание ИТП</t>
  </si>
  <si>
    <t>ремонт металлических ограждений</t>
  </si>
  <si>
    <t>смена ламп, осмотр э/сетей</t>
  </si>
  <si>
    <t>ремонт групповых щитков</t>
  </si>
  <si>
    <t>07-08.04.2015</t>
  </si>
  <si>
    <t>смена дверных приборов</t>
  </si>
  <si>
    <t>Ремонт домофона</t>
  </si>
  <si>
    <t>Снятие показаний электроэнергии</t>
  </si>
  <si>
    <t>+</t>
  </si>
  <si>
    <t>Ремонт лифта</t>
  </si>
  <si>
    <t>Дератизация</t>
  </si>
  <si>
    <t>Задолженность на 01.03.2015</t>
  </si>
  <si>
    <t>Обслуживание лифта</t>
  </si>
  <si>
    <t>Уборка ЛК</t>
  </si>
  <si>
    <t>Обслуживание ВДГО</t>
  </si>
  <si>
    <t>Санитарное содержание мест общего пользования</t>
  </si>
  <si>
    <t xml:space="preserve">Остаток на 01.03.2015 г. </t>
  </si>
  <si>
    <t>Задолженность на 01.03.2015 г.</t>
  </si>
  <si>
    <t xml:space="preserve">руб. </t>
  </si>
  <si>
    <t>В управлении ООО «УК Старый Город» - с 01.03.2015 года</t>
  </si>
  <si>
    <t>Цена</t>
  </si>
  <si>
    <t>ЛДСС</t>
  </si>
  <si>
    <t>Месяц</t>
  </si>
  <si>
    <t>Янв</t>
  </si>
  <si>
    <t>Фев</t>
  </si>
  <si>
    <t>провер</t>
  </si>
  <si>
    <t>Март</t>
  </si>
  <si>
    <t>Апр</t>
  </si>
  <si>
    <t>Персонифицированный учет МКД  за  2016 г.</t>
  </si>
  <si>
    <t>Задолженность на 01.01.2016 г.</t>
  </si>
  <si>
    <t xml:space="preserve">Остаток на 01.01.2016 г. </t>
  </si>
  <si>
    <t>Задолженность на 01.01.2016</t>
  </si>
  <si>
    <t>Задолженность на 31.12.2016г</t>
  </si>
  <si>
    <t>Сальдо на 31.12.2016 г.</t>
  </si>
  <si>
    <t>Задолженность населения на 31.12.2016 г.</t>
  </si>
  <si>
    <t>ЭЭ</t>
  </si>
  <si>
    <t xml:space="preserve">Электроэнергия   </t>
  </si>
  <si>
    <t>Долги самбия</t>
  </si>
  <si>
    <t>лк</t>
  </si>
  <si>
    <t>Обслуживание УУТЭ</t>
  </si>
  <si>
    <t xml:space="preserve">Электроэнергия  </t>
  </si>
  <si>
    <t>Осмотр электрических сетей</t>
  </si>
  <si>
    <t>Проверка на прогрев отопительных приборов</t>
  </si>
  <si>
    <t>Осмотр чердачных и подвальных помещений, сис. водоснабжения</t>
  </si>
  <si>
    <t>Песок 2го класса + транспортировка</t>
  </si>
  <si>
    <t>Осмотр электрических сетей, смена ламп</t>
  </si>
  <si>
    <t>Периодическое тех. обслуживание лифтов</t>
  </si>
  <si>
    <t>Ремонт групповых щитков</t>
  </si>
  <si>
    <t>Грунт и песок 1го класса + доставка</t>
  </si>
  <si>
    <t>Смена вентилей и клапанов</t>
  </si>
  <si>
    <t>Аварийка</t>
  </si>
  <si>
    <t>Прокладка внутренних трубопроводов</t>
  </si>
  <si>
    <t>Установка вентилей, задвижек, затворов, клапанов</t>
  </si>
  <si>
    <t>Очистка подвала от КГМ</t>
  </si>
  <si>
    <t>Осмотр чердачных и подвальных помещений, слив воды</t>
  </si>
  <si>
    <t>Монтаж детской площадки</t>
  </si>
  <si>
    <t>Осмотр электро сетей</t>
  </si>
  <si>
    <t>Окраска масляными составами</t>
  </si>
  <si>
    <t>Смена трубопроводов</t>
  </si>
  <si>
    <t>Регулировка системы ГВС</t>
  </si>
  <si>
    <t>Гидропневматическая промывка</t>
  </si>
  <si>
    <t>Осмотр чердачных и подвальных помещений</t>
  </si>
  <si>
    <t xml:space="preserve">Осмотр электрических сетей </t>
  </si>
  <si>
    <t>Установка сгонов в сборе на трубопроводах из стальных труб</t>
  </si>
  <si>
    <t xml:space="preserve">Проверка на прогрев отопительных приборов </t>
  </si>
  <si>
    <t>Осмотр чердачных и подвальных помещений(магазин)</t>
  </si>
  <si>
    <t xml:space="preserve">Компенсация затрат за материалы для уборки </t>
  </si>
  <si>
    <t>Установка вентилей, задвижек, затворов, клапанов обратных</t>
  </si>
  <si>
    <t>Диагностика оборудования ИТП</t>
  </si>
  <si>
    <t xml:space="preserve">Демонтаж/ Монтаж обделок из листовой стали </t>
  </si>
  <si>
    <t>Автомат одно-, двух-, трехполюсный</t>
  </si>
  <si>
    <t>Разгрузо-погрузочные работы</t>
  </si>
  <si>
    <t xml:space="preserve">Обследование электрических сетей </t>
  </si>
  <si>
    <t>Устройство покрытий из тротуарной плитки</t>
  </si>
  <si>
    <t xml:space="preserve">Устройство противоскользящего покрытия </t>
  </si>
  <si>
    <t>Аварийная служба</t>
  </si>
  <si>
    <t>Обслуживание лифта + ежегодное освидетельствование</t>
  </si>
  <si>
    <t xml:space="preserve"> </t>
  </si>
  <si>
    <t>Песок/грунт</t>
  </si>
  <si>
    <t>Персонифицированный учет МКД  за  2017 г.</t>
  </si>
  <si>
    <t xml:space="preserve">Остаток на 01.01.2017 г. </t>
  </si>
  <si>
    <t>Задолженность на 01.01.2017 г.</t>
  </si>
  <si>
    <t>Задолженность на 01.01.2017</t>
  </si>
  <si>
    <t>Задолженность на 31.12.2017г</t>
  </si>
  <si>
    <t>Сальдо на 31.12.2017 г.</t>
  </si>
  <si>
    <t>Задолженность населения на 31.12.2017 г.</t>
  </si>
  <si>
    <t>Хол.вода на соид</t>
  </si>
  <si>
    <t>Водоотведение на соид</t>
  </si>
  <si>
    <t>Электроэнергия на соид</t>
  </si>
  <si>
    <t>ежемесячно с 01.01.2017 по 31.07.2017</t>
  </si>
  <si>
    <t>снятие показаний общедомового прибора учета э/э</t>
  </si>
  <si>
    <t xml:space="preserve">Обследование электрических сетей. Смена ламп накаливания, патронов. </t>
  </si>
  <si>
    <t>Ремонт груповых щитков. Смена ламп накаливания</t>
  </si>
  <si>
    <t>Ремонт груповых щитков. Смена ламп накаливания, патронов. Ремонт патронов</t>
  </si>
  <si>
    <t>Ремонт груповых щитков. Смена ламп накаливания, выключателей</t>
  </si>
  <si>
    <t>Ремонт груповых щитков. Демонтаж/монтаж светильников</t>
  </si>
  <si>
    <t xml:space="preserve">Обследование электрических сетей. Смена ламп накаливания. </t>
  </si>
  <si>
    <t xml:space="preserve">Обследование электрических сетей. Смена ламп накаливания. Ремонт патронов </t>
  </si>
  <si>
    <t xml:space="preserve">Обследование электрических сетей. </t>
  </si>
  <si>
    <t>Обследование электрических сетей.</t>
  </si>
  <si>
    <t>Обследование электрических сетей. Смена ламп накаливания. Ремонт патронов</t>
  </si>
  <si>
    <t>Ремонт груповых щитков. Смена ламп накаливания. Ремонт патронов</t>
  </si>
  <si>
    <t>Обследование электрических сетей. Смена ламп накаливания. Ремонт светильников</t>
  </si>
  <si>
    <t>Обследование электрических сетей. Смена ламп накаливания. Ремонт светильников. Выключатель</t>
  </si>
  <si>
    <t xml:space="preserve">Обследование электрических сетей. Смена ламп накаливания, патронов. Ремонт светильников. </t>
  </si>
  <si>
    <t>Ремонт групповых щитков, силового предохранительного шкафа</t>
  </si>
  <si>
    <t>Снятие показаний с приборов учета электроэнергии</t>
  </si>
  <si>
    <t>Обследование электрических сетей. Смена ламп накаливания</t>
  </si>
  <si>
    <t>Обследование электрических сетей. Смена ламп накаливания, патронов. Ремонт выключателей</t>
  </si>
  <si>
    <t xml:space="preserve">Обследование электрических сетей. Смена ламп накаливания. Ремонт патронов. </t>
  </si>
  <si>
    <t xml:space="preserve">Обследование чердачных, подвальных и лест. клеток  на предмет утечки трубопроводов. </t>
  </si>
  <si>
    <t>Обследование чердачных, подвальных и лест. клеток  на предмет утечки трубопроводов. Демонтаж/монтаж полотенцесушителей</t>
  </si>
  <si>
    <t>Обследование чердачных, подвальных и лест. клеток  на предмет утечки трубопроводов. Смена вентилей и клапанов</t>
  </si>
  <si>
    <t>Обследование чердачных, подвальных и лест. клеток  на предмет утечки трубопроводов. Слив воды из системы</t>
  </si>
  <si>
    <t>Обследование чердачных, подвальных и лест. клеток  на предмет утечки трубопроводов. Проверка на прогрев отопительных приборов с регулировкой</t>
  </si>
  <si>
    <t>Обследование чердачных, подвальных и лест. клеток  на предмет утечки трубопроводов. Проверка на прогрев отопительных приборов</t>
  </si>
  <si>
    <t>Снятие, установка дверных полотен. Демонтаж, установка дверного доводчика.</t>
  </si>
  <si>
    <t>Демонтаж/монтаж обделок из листовой стали (парапетов без обделки боковых стенок). Очистка водосточной сети. Очистка кровельных покрытий от снега и наледи.</t>
  </si>
  <si>
    <t>Демонтаж/монтаж обделок из листовой стали, примыканий: к каменным стенам</t>
  </si>
  <si>
    <t>Устройство гидроизоляции</t>
  </si>
  <si>
    <t>Обследование конструктивов здания</t>
  </si>
  <si>
    <t>Очистка и ремонт кровли</t>
  </si>
  <si>
    <t>Покос</t>
  </si>
  <si>
    <t>Аварийно-ремонтные работы</t>
  </si>
  <si>
    <t>Страхование лифта</t>
  </si>
  <si>
    <t>Периодическое техническое освидетельствование лифтов</t>
  </si>
  <si>
    <t>Техническое обслуживание лифта</t>
  </si>
  <si>
    <t>Аварийные работы. Течь радиатора</t>
  </si>
  <si>
    <t>Аварийные работы. Течь смесителя</t>
  </si>
  <si>
    <t>Аварийные работы. Утечка в квартире</t>
  </si>
  <si>
    <t>Аварийные работы. Течь п/с</t>
  </si>
  <si>
    <t>Аварийные работы. Залитие</t>
  </si>
  <si>
    <t>Техническое обслуживание УУТЭ</t>
  </si>
  <si>
    <t>Калитка входная</t>
  </si>
  <si>
    <t>Настройка и пуско-наладка теплового пункта</t>
  </si>
  <si>
    <t>Установка исполнительного механизма</t>
  </si>
  <si>
    <t>Замена исполнительного механизма</t>
  </si>
  <si>
    <t>Диагностика оборудования модульного ТП</t>
  </si>
  <si>
    <t>Промывка и опресовка внутредомовой системы теплопотребления</t>
  </si>
  <si>
    <t>Поверка ПУТЭ</t>
  </si>
  <si>
    <t>Обследование вентканалов, дымоходов</t>
  </si>
  <si>
    <t>Регулировка дверного доводчика</t>
  </si>
  <si>
    <t>Ремонт э/м замка</t>
  </si>
  <si>
    <t>Установка э/м замка, установка считывателя</t>
  </si>
  <si>
    <t>Коврик входной резина</t>
  </si>
  <si>
    <t xml:space="preserve">Аварийные работы. </t>
  </si>
  <si>
    <t>Калитка входная, установка э/м замка, установка считывателя</t>
  </si>
  <si>
    <t>Установка, замена исполнительного механизма. Диагностика оборудования модульного ТП</t>
  </si>
  <si>
    <t>кгм</t>
  </si>
  <si>
    <t>Санитарное содержание прилегающей территории, вывоз КГМ, покос, дератизация</t>
  </si>
  <si>
    <t>получено по заявлению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</si>
</sst>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0.000"/>
  </numFmts>
  <fonts count="45"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4" fontId="1" fillId="33" borderId="10" xfId="0" applyNumberFormat="1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" fontId="3" fillId="33" borderId="0" xfId="0" applyNumberFormat="1" applyFont="1" applyFill="1" applyBorder="1" applyAlignment="1">
      <alignment vertical="center"/>
    </xf>
    <xf numFmtId="4" fontId="1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vertical="center" wrapText="1"/>
    </xf>
    <xf numFmtId="2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3" fillId="33" borderId="13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1" fillId="33" borderId="13" xfId="0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4" fontId="1" fillId="33" borderId="0" xfId="0" applyNumberFormat="1" applyFont="1" applyFill="1" applyAlignment="1">
      <alignment vertical="center"/>
    </xf>
    <xf numFmtId="4" fontId="3" fillId="33" borderId="0" xfId="0" applyNumberFormat="1" applyFont="1" applyFill="1" applyAlignment="1">
      <alignment vertical="center"/>
    </xf>
    <xf numFmtId="4" fontId="1" fillId="33" borderId="13" xfId="0" applyNumberFormat="1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/>
    </xf>
    <xf numFmtId="14" fontId="42" fillId="33" borderId="13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2" fontId="42" fillId="33" borderId="13" xfId="0" applyNumberFormat="1" applyFont="1" applyFill="1" applyBorder="1" applyAlignment="1">
      <alignment horizontal="center" vertical="center"/>
    </xf>
    <xf numFmtId="49" fontId="1" fillId="33" borderId="15" xfId="0" applyNumberFormat="1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14" fontId="2" fillId="33" borderId="13" xfId="0" applyNumberFormat="1" applyFont="1" applyFill="1" applyBorder="1" applyAlignment="1">
      <alignment horizontal="center" vertical="center"/>
    </xf>
    <xf numFmtId="4" fontId="2" fillId="34" borderId="13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" fontId="2" fillId="33" borderId="13" xfId="0" applyNumberFormat="1" applyFont="1" applyFill="1" applyBorder="1" applyAlignment="1">
      <alignment horizontal="center" vertical="center"/>
    </xf>
    <xf numFmtId="4" fontId="2" fillId="33" borderId="13" xfId="0" applyNumberFormat="1" applyFont="1" applyFill="1" applyBorder="1" applyAlignment="1">
      <alignment horizontal="center"/>
    </xf>
    <xf numFmtId="4" fontId="3" fillId="33" borderId="16" xfId="0" applyNumberFormat="1" applyFont="1" applyFill="1" applyBorder="1" applyAlignment="1">
      <alignment horizontal="center" vertical="center" wrapText="1"/>
    </xf>
    <xf numFmtId="2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43" fillId="33" borderId="0" xfId="0" applyFont="1" applyFill="1" applyAlignment="1">
      <alignment vertical="center"/>
    </xf>
    <xf numFmtId="0" fontId="3" fillId="33" borderId="13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/>
    </xf>
    <xf numFmtId="171" fontId="1" fillId="33" borderId="13" xfId="0" applyNumberFormat="1" applyFont="1" applyFill="1" applyBorder="1" applyAlignment="1">
      <alignment/>
    </xf>
    <xf numFmtId="4" fontId="1" fillId="33" borderId="13" xfId="0" applyNumberFormat="1" applyFont="1" applyFill="1" applyBorder="1" applyAlignment="1">
      <alignment/>
    </xf>
    <xf numFmtId="4" fontId="1" fillId="33" borderId="0" xfId="0" applyNumberFormat="1" applyFont="1" applyFill="1" applyBorder="1" applyAlignment="1">
      <alignment/>
    </xf>
    <xf numFmtId="2" fontId="1" fillId="33" borderId="0" xfId="0" applyNumberFormat="1" applyFont="1" applyFill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171" fontId="1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14" fontId="2" fillId="0" borderId="13" xfId="0" applyNumberFormat="1" applyFont="1" applyBorder="1" applyAlignment="1">
      <alignment horizontal="center"/>
    </xf>
    <xf numFmtId="14" fontId="2" fillId="0" borderId="13" xfId="0" applyNumberFormat="1" applyFont="1" applyBorder="1" applyAlignment="1">
      <alignment horizontal="center" wrapText="1"/>
    </xf>
    <xf numFmtId="0" fontId="2" fillId="33" borderId="0" xfId="0" applyFont="1" applyFill="1" applyAlignment="1">
      <alignment vertical="center" wrapText="1"/>
    </xf>
    <xf numFmtId="0" fontId="2" fillId="35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 wrapText="1"/>
    </xf>
    <xf numFmtId="49" fontId="1" fillId="33" borderId="0" xfId="0" applyNumberFormat="1" applyFont="1" applyFill="1" applyBorder="1" applyAlignment="1">
      <alignment vertical="center"/>
    </xf>
    <xf numFmtId="0" fontId="1" fillId="33" borderId="17" xfId="0" applyFont="1" applyFill="1" applyBorder="1" applyAlignment="1">
      <alignment horizontal="center" vertical="center" wrapText="1"/>
    </xf>
    <xf numFmtId="4" fontId="1" fillId="33" borderId="18" xfId="0" applyNumberFormat="1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 wrapText="1"/>
    </xf>
    <xf numFmtId="4" fontId="1" fillId="33" borderId="20" xfId="0" applyNumberFormat="1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 wrapText="1"/>
    </xf>
    <xf numFmtId="4" fontId="3" fillId="33" borderId="22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wrapText="1"/>
    </xf>
    <xf numFmtId="0" fontId="2" fillId="36" borderId="13" xfId="0" applyFont="1" applyFill="1" applyBorder="1" applyAlignment="1">
      <alignment horizontal="center"/>
    </xf>
    <xf numFmtId="2" fontId="42" fillId="35" borderId="13" xfId="0" applyNumberFormat="1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4" fontId="1" fillId="33" borderId="16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/>
    </xf>
    <xf numFmtId="14" fontId="2" fillId="37" borderId="13" xfId="0" applyNumberFormat="1" applyFont="1" applyFill="1" applyBorder="1" applyAlignment="1">
      <alignment horizontal="center" vertical="center" wrapText="1"/>
    </xf>
    <xf numFmtId="0" fontId="44" fillId="35" borderId="13" xfId="0" applyFont="1" applyFill="1" applyBorder="1" applyAlignment="1">
      <alignment horizontal="center" vertical="center"/>
    </xf>
    <xf numFmtId="14" fontId="44" fillId="33" borderId="13" xfId="0" applyNumberFormat="1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8" borderId="13" xfId="0" applyFont="1" applyFill="1" applyBorder="1" applyAlignment="1">
      <alignment horizontal="center" vertical="center"/>
    </xf>
    <xf numFmtId="0" fontId="44" fillId="36" borderId="13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left" vertical="center" wrapText="1"/>
    </xf>
    <xf numFmtId="0" fontId="44" fillId="33" borderId="24" xfId="0" applyFont="1" applyFill="1" applyBorder="1" applyAlignment="1">
      <alignment horizontal="left" vertical="center" wrapText="1"/>
    </xf>
    <xf numFmtId="0" fontId="44" fillId="33" borderId="25" xfId="0" applyFont="1" applyFill="1" applyBorder="1" applyAlignment="1">
      <alignment horizontal="left" vertical="center" wrapText="1"/>
    </xf>
    <xf numFmtId="4" fontId="3" fillId="33" borderId="1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14" fontId="0" fillId="0" borderId="0" xfId="0" applyNumberFormat="1" applyFont="1" applyBorder="1" applyAlignment="1">
      <alignment horizontal="left"/>
    </xf>
    <xf numFmtId="0" fontId="44" fillId="39" borderId="13" xfId="0" applyFont="1" applyFill="1" applyBorder="1" applyAlignment="1">
      <alignment horizontal="center" vertical="center"/>
    </xf>
    <xf numFmtId="0" fontId="44" fillId="16" borderId="13" xfId="0" applyFont="1" applyFill="1" applyBorder="1" applyAlignment="1">
      <alignment horizontal="center" vertical="center"/>
    </xf>
    <xf numFmtId="0" fontId="44" fillId="9" borderId="13" xfId="0" applyFont="1" applyFill="1" applyBorder="1" applyAlignment="1">
      <alignment horizontal="center" vertical="center"/>
    </xf>
    <xf numFmtId="0" fontId="44" fillId="11" borderId="13" xfId="0" applyFont="1" applyFill="1" applyBorder="1" applyAlignment="1">
      <alignment horizontal="center" vertical="center"/>
    </xf>
    <xf numFmtId="0" fontId="44" fillId="13" borderId="13" xfId="0" applyFont="1" applyFill="1" applyBorder="1" applyAlignment="1">
      <alignment horizontal="center" vertical="center"/>
    </xf>
    <xf numFmtId="4" fontId="1" fillId="33" borderId="13" xfId="0" applyNumberFormat="1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left" vertical="center"/>
    </xf>
    <xf numFmtId="0" fontId="44" fillId="33" borderId="24" xfId="0" applyFont="1" applyFill="1" applyBorder="1" applyAlignment="1">
      <alignment horizontal="left" vertical="center"/>
    </xf>
    <xf numFmtId="0" fontId="44" fillId="33" borderId="25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44" fillId="33" borderId="23" xfId="0" applyFont="1" applyFill="1" applyBorder="1" applyAlignment="1">
      <alignment horizontal="left" vertical="center" wrapText="1"/>
    </xf>
    <xf numFmtId="0" fontId="44" fillId="33" borderId="24" xfId="0" applyFont="1" applyFill="1" applyBorder="1" applyAlignment="1">
      <alignment horizontal="left" vertical="center" wrapText="1"/>
    </xf>
    <xf numFmtId="0" fontId="44" fillId="33" borderId="25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26" xfId="0" applyFont="1" applyFill="1" applyBorder="1" applyAlignment="1">
      <alignment horizontal="left" vertical="center"/>
    </xf>
    <xf numFmtId="0" fontId="3" fillId="33" borderId="27" xfId="0" applyFont="1" applyFill="1" applyBorder="1" applyAlignment="1">
      <alignment horizontal="left" vertical="center"/>
    </xf>
    <xf numFmtId="0" fontId="41" fillId="33" borderId="23" xfId="0" applyFont="1" applyFill="1" applyBorder="1" applyAlignment="1">
      <alignment horizontal="center" vertical="center"/>
    </xf>
    <xf numFmtId="0" fontId="41" fillId="33" borderId="24" xfId="0" applyFont="1" applyFill="1" applyBorder="1" applyAlignment="1">
      <alignment horizontal="center" vertical="center"/>
    </xf>
    <xf numFmtId="0" fontId="41" fillId="33" borderId="25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26" xfId="0" applyFont="1" applyFill="1" applyBorder="1" applyAlignment="1">
      <alignment horizontal="left" vertical="center" wrapText="1"/>
    </xf>
    <xf numFmtId="0" fontId="1" fillId="33" borderId="27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3" fillId="33" borderId="28" xfId="0" applyFont="1" applyFill="1" applyBorder="1" applyAlignment="1">
      <alignment vertical="center" wrapText="1"/>
    </xf>
    <xf numFmtId="0" fontId="42" fillId="33" borderId="23" xfId="0" applyFont="1" applyFill="1" applyBorder="1" applyAlignment="1">
      <alignment horizontal="left" vertical="center"/>
    </xf>
    <xf numFmtId="0" fontId="42" fillId="33" borderId="24" xfId="0" applyFont="1" applyFill="1" applyBorder="1" applyAlignment="1">
      <alignment horizontal="left" vertical="center"/>
    </xf>
    <xf numFmtId="0" fontId="42" fillId="33" borderId="25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13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" fillId="34" borderId="23" xfId="0" applyFont="1" applyFill="1" applyBorder="1" applyAlignment="1">
      <alignment horizontal="left" vertical="center" wrapText="1"/>
    </xf>
    <xf numFmtId="0" fontId="2" fillId="34" borderId="24" xfId="0" applyFont="1" applyFill="1" applyBorder="1" applyAlignment="1">
      <alignment horizontal="left" vertical="center" wrapText="1"/>
    </xf>
    <xf numFmtId="0" fontId="2" fillId="34" borderId="25" xfId="0" applyFont="1" applyFill="1" applyBorder="1" applyAlignment="1">
      <alignment horizontal="left" vertical="center" wrapText="1"/>
    </xf>
    <xf numFmtId="0" fontId="2" fillId="33" borderId="23" xfId="0" applyFont="1" applyFill="1" applyBorder="1" applyAlignment="1">
      <alignment horizontal="left"/>
    </xf>
    <xf numFmtId="0" fontId="2" fillId="33" borderId="24" xfId="0" applyFont="1" applyFill="1" applyBorder="1" applyAlignment="1">
      <alignment horizontal="left"/>
    </xf>
    <xf numFmtId="0" fontId="2" fillId="33" borderId="25" xfId="0" applyFont="1" applyFill="1" applyBorder="1" applyAlignment="1">
      <alignment horizontal="left"/>
    </xf>
    <xf numFmtId="0" fontId="2" fillId="33" borderId="23" xfId="0" applyFont="1" applyFill="1" applyBorder="1" applyAlignment="1">
      <alignment horizontal="left" vertical="center" wrapText="1"/>
    </xf>
    <xf numFmtId="0" fontId="2" fillId="33" borderId="24" xfId="0" applyFont="1" applyFill="1" applyBorder="1" applyAlignment="1">
      <alignment horizontal="left" vertical="center" wrapText="1"/>
    </xf>
    <xf numFmtId="0" fontId="2" fillId="33" borderId="25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2"/>
  <sheetViews>
    <sheetView tabSelected="1" zoomScalePageLayoutView="0" workbookViewId="0" topLeftCell="A36">
      <selection activeCell="A51" sqref="A51"/>
    </sheetView>
  </sheetViews>
  <sheetFormatPr defaultColWidth="9.140625" defaultRowHeight="12.75" outlineLevelRow="1"/>
  <cols>
    <col min="1" max="1" width="4.421875" style="8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1.7109375" style="5" customWidth="1"/>
    <col min="8" max="8" width="11.57421875" style="5" customWidth="1"/>
    <col min="9" max="9" width="11.421875" style="5" customWidth="1"/>
    <col min="10" max="10" width="15.7109375" style="5" customWidth="1"/>
    <col min="11" max="11" width="15.8515625" style="5" customWidth="1"/>
    <col min="12" max="12" width="16.57421875" style="5" customWidth="1"/>
    <col min="13" max="16384" width="9.140625" style="5" customWidth="1"/>
  </cols>
  <sheetData>
    <row r="1" spans="1:7" ht="15.75">
      <c r="A1" s="126" t="s">
        <v>139</v>
      </c>
      <c r="B1" s="126"/>
      <c r="C1" s="126"/>
      <c r="D1" s="126"/>
      <c r="E1" s="126"/>
      <c r="F1" s="126"/>
      <c r="G1" s="77"/>
    </row>
    <row r="2" spans="1:8" ht="16.5" customHeight="1">
      <c r="A2" s="126" t="s">
        <v>38</v>
      </c>
      <c r="B2" s="126"/>
      <c r="C2" s="126"/>
      <c r="D2" s="126"/>
      <c r="E2" s="126"/>
      <c r="F2" s="126"/>
      <c r="G2" s="6"/>
      <c r="H2" s="7"/>
    </row>
    <row r="3" ht="16.5" customHeight="1"/>
    <row r="4" spans="1:6" ht="16.5" customHeight="1" hidden="1" outlineLevel="1">
      <c r="A4" s="50" t="s">
        <v>79</v>
      </c>
      <c r="C4" s="9"/>
      <c r="D4" s="9"/>
      <c r="E4" s="9"/>
      <c r="F4" s="9"/>
    </row>
    <row r="5" spans="1:6" ht="10.5" customHeight="1" outlineLevel="1">
      <c r="A5" s="9" t="s">
        <v>11</v>
      </c>
      <c r="C5" s="9"/>
      <c r="D5" s="9">
        <v>7170.4</v>
      </c>
      <c r="E5" s="9" t="s">
        <v>12</v>
      </c>
      <c r="F5" s="9"/>
    </row>
    <row r="6" ht="16.5" customHeight="1">
      <c r="I6" s="29"/>
    </row>
    <row r="7" spans="1:6" ht="16.5" customHeight="1">
      <c r="A7" s="6" t="s">
        <v>140</v>
      </c>
      <c r="C7" s="6"/>
      <c r="D7" s="10">
        <f>'2016'!F42</f>
        <v>294493.80400000024</v>
      </c>
      <c r="E7" s="6" t="s">
        <v>78</v>
      </c>
      <c r="F7" s="6" t="s">
        <v>137</v>
      </c>
    </row>
    <row r="8" spans="1:6" ht="16.5" customHeight="1">
      <c r="A8" s="6" t="s">
        <v>141</v>
      </c>
      <c r="C8" s="9"/>
      <c r="D8" s="11">
        <f>C22</f>
        <v>-235769.51000000004</v>
      </c>
      <c r="E8" s="9" t="s">
        <v>78</v>
      </c>
      <c r="F8" s="9"/>
    </row>
    <row r="9" spans="2:12" ht="16.5" customHeight="1">
      <c r="B9" s="9"/>
      <c r="C9" s="9"/>
      <c r="D9" s="9"/>
      <c r="E9" s="9"/>
      <c r="F9" s="12" t="s">
        <v>13</v>
      </c>
      <c r="J9" s="62"/>
      <c r="K9" s="63"/>
      <c r="L9" s="57"/>
    </row>
    <row r="10" spans="1:12" s="8" customFormat="1" ht="28.5" customHeight="1">
      <c r="A10" s="78" t="s">
        <v>14</v>
      </c>
      <c r="B10" s="13" t="s">
        <v>15</v>
      </c>
      <c r="C10" s="14" t="s">
        <v>142</v>
      </c>
      <c r="D10" s="14" t="s">
        <v>0</v>
      </c>
      <c r="E10" s="14" t="s">
        <v>16</v>
      </c>
      <c r="F10" s="14" t="s">
        <v>143</v>
      </c>
      <c r="J10" s="62" t="s">
        <v>97</v>
      </c>
      <c r="K10" s="62"/>
      <c r="L10" s="57"/>
    </row>
    <row r="11" spans="1:12" s="17" customFormat="1" ht="30" customHeight="1">
      <c r="A11" s="78">
        <v>1</v>
      </c>
      <c r="B11" s="15" t="s">
        <v>1</v>
      </c>
      <c r="C11" s="30">
        <v>-131152.08000000007</v>
      </c>
      <c r="D11" s="30">
        <f>776984.93-5004.77</f>
        <v>771980.16</v>
      </c>
      <c r="E11" s="30">
        <v>753208.12</v>
      </c>
      <c r="F11" s="30">
        <f aca="true" t="shared" si="0" ref="F11:F21">C11-D11+E11</f>
        <v>-149924.1200000001</v>
      </c>
      <c r="G11" s="5" t="s">
        <v>32</v>
      </c>
      <c r="H11" s="5">
        <v>9.21</v>
      </c>
      <c r="I11" s="29">
        <f>H11*10*H27</f>
        <v>660393.8400000001</v>
      </c>
      <c r="J11" s="62">
        <v>21028.09</v>
      </c>
      <c r="K11" s="62"/>
      <c r="L11" s="57"/>
    </row>
    <row r="12" spans="1:12" s="17" customFormat="1" ht="15.75">
      <c r="A12" s="78">
        <v>2</v>
      </c>
      <c r="B12" s="15" t="s">
        <v>2</v>
      </c>
      <c r="C12" s="30">
        <v>-28739.5</v>
      </c>
      <c r="D12" s="30">
        <f>168647.4-998.76</f>
        <v>167648.63999999998</v>
      </c>
      <c r="E12" s="30">
        <v>163886.8</v>
      </c>
      <c r="F12" s="30">
        <f t="shared" si="0"/>
        <v>-32501.339999999997</v>
      </c>
      <c r="G12" s="9" t="s">
        <v>33</v>
      </c>
      <c r="H12" s="5">
        <v>2.92</v>
      </c>
      <c r="I12" s="28">
        <f>H12*12*H27</f>
        <v>251250.816</v>
      </c>
      <c r="J12" s="62">
        <v>4564.25</v>
      </c>
      <c r="K12" s="62"/>
      <c r="L12" s="57"/>
    </row>
    <row r="13" spans="1:12" s="17" customFormat="1" ht="29.25" customHeight="1">
      <c r="A13" s="78">
        <v>3</v>
      </c>
      <c r="B13" s="15" t="s">
        <v>72</v>
      </c>
      <c r="C13" s="30">
        <v>-22037.97999999998</v>
      </c>
      <c r="D13" s="30">
        <f>132419.08-94.76</f>
        <v>132324.31999999998</v>
      </c>
      <c r="E13" s="30">
        <v>129641.01</v>
      </c>
      <c r="F13" s="30">
        <f t="shared" si="0"/>
        <v>-24721.289999999964</v>
      </c>
      <c r="G13" s="9" t="s">
        <v>37</v>
      </c>
      <c r="H13" s="5">
        <v>2.04</v>
      </c>
      <c r="I13" s="28">
        <f>H13*12*H27</f>
        <v>175531.392</v>
      </c>
      <c r="J13" s="62">
        <v>3960.48</v>
      </c>
      <c r="K13" s="62"/>
      <c r="L13" s="57"/>
    </row>
    <row r="14" spans="1:12" s="17" customFormat="1" ht="15.75">
      <c r="A14" s="78">
        <v>4</v>
      </c>
      <c r="B14" s="15" t="s">
        <v>73</v>
      </c>
      <c r="C14" s="30">
        <v>-25913.899999999994</v>
      </c>
      <c r="D14" s="30">
        <f>151487.87-912.09</f>
        <v>150575.78</v>
      </c>
      <c r="E14" s="30">
        <v>147917.64</v>
      </c>
      <c r="F14" s="30">
        <f t="shared" si="0"/>
        <v>-28572.03999999998</v>
      </c>
      <c r="G14" s="16" t="s">
        <v>98</v>
      </c>
      <c r="H14" s="16">
        <v>1.79</v>
      </c>
      <c r="I14" s="17">
        <f>H14*12*H27</f>
        <v>154020.19199999998</v>
      </c>
      <c r="J14" s="62">
        <v>4168.57</v>
      </c>
      <c r="K14" s="62"/>
      <c r="L14" s="57"/>
    </row>
    <row r="15" spans="1:12" s="17" customFormat="1" ht="30" customHeight="1">
      <c r="A15" s="78">
        <v>5</v>
      </c>
      <c r="B15" s="15" t="s">
        <v>35</v>
      </c>
      <c r="C15" s="30">
        <v>-24754.47</v>
      </c>
      <c r="D15" s="30">
        <f>13533.04+403.04</f>
        <v>13936.080000000002</v>
      </c>
      <c r="E15" s="30">
        <v>33277.29</v>
      </c>
      <c r="F15" s="30">
        <f t="shared" si="0"/>
        <v>-5413.260000000002</v>
      </c>
      <c r="G15" s="16" t="s">
        <v>208</v>
      </c>
      <c r="H15" s="16">
        <v>0.69</v>
      </c>
      <c r="I15" s="17">
        <f>H15*12*H27</f>
        <v>59370.91199999999</v>
      </c>
      <c r="J15" s="64">
        <v>2380.49</v>
      </c>
      <c r="K15" s="64"/>
      <c r="L15" s="57"/>
    </row>
    <row r="16" spans="1:12" s="17" customFormat="1" ht="30" customHeight="1">
      <c r="A16" s="78">
        <v>6</v>
      </c>
      <c r="B16" s="15" t="s">
        <v>74</v>
      </c>
      <c r="C16" s="30">
        <v>-3171.579999999998</v>
      </c>
      <c r="D16" s="30">
        <f>32051.16-12.51</f>
        <v>32038.65</v>
      </c>
      <c r="E16" s="30">
        <v>27381.46</v>
      </c>
      <c r="F16" s="30">
        <f t="shared" si="0"/>
        <v>-7828.769999999997</v>
      </c>
      <c r="G16" s="16"/>
      <c r="H16" s="16"/>
      <c r="J16" s="9"/>
      <c r="K16" s="9"/>
      <c r="L16" s="9"/>
    </row>
    <row r="17" spans="1:12" s="17" customFormat="1" ht="30" customHeight="1">
      <c r="A17" s="78">
        <v>7</v>
      </c>
      <c r="B17" s="15" t="s">
        <v>96</v>
      </c>
      <c r="C17" s="30">
        <v>0</v>
      </c>
      <c r="D17" s="30">
        <v>0</v>
      </c>
      <c r="E17" s="30">
        <v>0</v>
      </c>
      <c r="F17" s="30">
        <f t="shared" si="0"/>
        <v>0</v>
      </c>
      <c r="G17" s="16"/>
      <c r="H17" s="16"/>
      <c r="J17" s="5"/>
      <c r="K17" s="5"/>
      <c r="L17" s="5"/>
    </row>
    <row r="18" spans="1:12" s="17" customFormat="1" ht="30" customHeight="1">
      <c r="A18" s="85">
        <v>8</v>
      </c>
      <c r="B18" s="15" t="s">
        <v>146</v>
      </c>
      <c r="C18" s="88">
        <v>0</v>
      </c>
      <c r="D18" s="87">
        <f>6435.82-114.98+7.72-5.07</f>
        <v>6323.490000000001</v>
      </c>
      <c r="E18" s="87">
        <v>5431.81</v>
      </c>
      <c r="F18" s="30">
        <f t="shared" si="0"/>
        <v>-891.6800000000003</v>
      </c>
      <c r="G18" s="16"/>
      <c r="H18" s="16"/>
      <c r="J18" s="5"/>
      <c r="K18" s="5"/>
      <c r="L18" s="5"/>
    </row>
    <row r="19" spans="1:12" s="17" customFormat="1" ht="30" customHeight="1">
      <c r="A19" s="85">
        <v>9</v>
      </c>
      <c r="B19" s="15" t="s">
        <v>147</v>
      </c>
      <c r="C19" s="88">
        <v>0</v>
      </c>
      <c r="D19" s="87">
        <f>6844.23-34.15</f>
        <v>6810.08</v>
      </c>
      <c r="E19" s="87">
        <v>5461.71</v>
      </c>
      <c r="F19" s="30">
        <f t="shared" si="0"/>
        <v>-1348.37</v>
      </c>
      <c r="G19" s="16"/>
      <c r="H19" s="16"/>
      <c r="J19" s="5"/>
      <c r="K19" s="5"/>
      <c r="L19" s="5"/>
    </row>
    <row r="20" spans="1:12" s="17" customFormat="1" ht="30" customHeight="1">
      <c r="A20" s="85">
        <v>10</v>
      </c>
      <c r="B20" s="15" t="s">
        <v>148</v>
      </c>
      <c r="C20" s="88">
        <v>0</v>
      </c>
      <c r="D20" s="87">
        <f>249367.5-29561.5-113.26</f>
        <v>219692.74</v>
      </c>
      <c r="E20" s="87">
        <v>182629.12</v>
      </c>
      <c r="F20" s="30">
        <f t="shared" si="0"/>
        <v>-37063.619999999995</v>
      </c>
      <c r="G20" s="16"/>
      <c r="H20" s="16"/>
      <c r="J20" s="5"/>
      <c r="K20" s="5"/>
      <c r="L20" s="5"/>
    </row>
    <row r="21" spans="1:12" s="17" customFormat="1" ht="30" customHeight="1">
      <c r="A21" s="85">
        <v>11</v>
      </c>
      <c r="B21" s="15" t="s">
        <v>60</v>
      </c>
      <c r="C21" s="87">
        <v>0</v>
      </c>
      <c r="D21" s="87">
        <v>35713.9</v>
      </c>
      <c r="E21" s="87">
        <v>29192.14</v>
      </c>
      <c r="F21" s="30">
        <f t="shared" si="0"/>
        <v>-6521.760000000002</v>
      </c>
      <c r="G21" s="16"/>
      <c r="H21" s="16"/>
      <c r="J21" s="5"/>
      <c r="K21" s="5"/>
      <c r="L21" s="5"/>
    </row>
    <row r="22" spans="1:8" s="47" customFormat="1" ht="21" customHeight="1">
      <c r="A22" s="79"/>
      <c r="B22" s="18" t="s">
        <v>3</v>
      </c>
      <c r="C22" s="45">
        <f>SUM(C11:C21)</f>
        <v>-235769.51000000004</v>
      </c>
      <c r="D22" s="45">
        <f>SUM(D11:D21)</f>
        <v>1537043.84</v>
      </c>
      <c r="E22" s="45">
        <f>SUM(E11:E21)</f>
        <v>1478027.0999999999</v>
      </c>
      <c r="F22" s="45">
        <f>SUM(F11:F21)</f>
        <v>-294786.25</v>
      </c>
      <c r="G22" s="46"/>
      <c r="H22" s="46"/>
    </row>
    <row r="23" ht="10.5" customHeight="1"/>
    <row r="24" spans="1:12" ht="11.25" customHeight="1">
      <c r="A24" s="126" t="s">
        <v>17</v>
      </c>
      <c r="B24" s="126"/>
      <c r="C24" s="126"/>
      <c r="D24" s="126"/>
      <c r="E24" s="126"/>
      <c r="F24" s="126"/>
      <c r="L24" s="57"/>
    </row>
    <row r="25" spans="1:6" ht="6.75" customHeight="1">
      <c r="A25" s="77"/>
      <c r="B25" s="77"/>
      <c r="C25" s="77"/>
      <c r="D25" s="77"/>
      <c r="E25" s="77"/>
      <c r="F25" s="77"/>
    </row>
    <row r="26" spans="1:8" ht="31.5">
      <c r="A26" s="14" t="s">
        <v>31</v>
      </c>
      <c r="B26" s="127" t="s">
        <v>4</v>
      </c>
      <c r="C26" s="127"/>
      <c r="D26" s="127"/>
      <c r="E26" s="127"/>
      <c r="F26" s="18" t="s">
        <v>10</v>
      </c>
      <c r="H26" s="5" t="s">
        <v>18</v>
      </c>
    </row>
    <row r="27" spans="1:8" ht="15.75">
      <c r="A27" s="14">
        <v>1</v>
      </c>
      <c r="B27" s="124" t="s">
        <v>5</v>
      </c>
      <c r="C27" s="124"/>
      <c r="D27" s="124"/>
      <c r="E27" s="124"/>
      <c r="F27" s="107">
        <f>I12</f>
        <v>251250.816</v>
      </c>
      <c r="G27" s="19"/>
      <c r="H27" s="5">
        <f>D5</f>
        <v>7170.4</v>
      </c>
    </row>
    <row r="28" spans="1:15" ht="18" customHeight="1">
      <c r="A28" s="14">
        <v>2</v>
      </c>
      <c r="B28" s="124" t="s">
        <v>34</v>
      </c>
      <c r="C28" s="124"/>
      <c r="D28" s="124"/>
      <c r="E28" s="124"/>
      <c r="F28" s="107">
        <f>0.24*9*H27+0.71*3*H27</f>
        <v>30761.016</v>
      </c>
      <c r="G28" s="9"/>
      <c r="H28" s="5" t="s">
        <v>19</v>
      </c>
      <c r="I28" s="5" t="s">
        <v>20</v>
      </c>
      <c r="J28" s="5" t="s">
        <v>21</v>
      </c>
      <c r="M28" s="125" t="s">
        <v>72</v>
      </c>
      <c r="N28" s="125"/>
      <c r="O28" s="125"/>
    </row>
    <row r="29" spans="1:15" ht="24" customHeight="1">
      <c r="A29" s="14">
        <v>3</v>
      </c>
      <c r="B29" s="124" t="s">
        <v>75</v>
      </c>
      <c r="C29" s="124"/>
      <c r="D29" s="124"/>
      <c r="E29" s="124"/>
      <c r="F29" s="107">
        <f>D14</f>
        <v>150575.78</v>
      </c>
      <c r="G29" s="9"/>
      <c r="I29" s="5">
        <v>8967</v>
      </c>
      <c r="J29" s="5">
        <v>10870</v>
      </c>
      <c r="M29" s="13" t="s">
        <v>80</v>
      </c>
      <c r="N29" s="13" t="s">
        <v>81</v>
      </c>
      <c r="O29" s="13" t="s">
        <v>82</v>
      </c>
    </row>
    <row r="30" spans="1:15" ht="34.5" customHeight="1">
      <c r="A30" s="14">
        <v>4</v>
      </c>
      <c r="B30" s="124" t="s">
        <v>209</v>
      </c>
      <c r="C30" s="124"/>
      <c r="D30" s="124"/>
      <c r="E30" s="124"/>
      <c r="F30" s="107">
        <f>I13+I15+F122+F123+F124+F125+F126+F172</f>
        <v>243219.91399999996</v>
      </c>
      <c r="G30" s="70"/>
      <c r="H30" s="9"/>
      <c r="I30" s="5">
        <f>I29*12</f>
        <v>107604</v>
      </c>
      <c r="J30" s="5">
        <f>J29*12</f>
        <v>130440</v>
      </c>
      <c r="M30" s="13">
        <v>6580</v>
      </c>
      <c r="N30" s="13">
        <f>200*4</f>
        <v>800</v>
      </c>
      <c r="O30" s="13" t="s">
        <v>83</v>
      </c>
    </row>
    <row r="31" spans="1:15" ht="18" customHeight="1">
      <c r="A31" s="14">
        <v>5</v>
      </c>
      <c r="B31" s="122" t="s">
        <v>204</v>
      </c>
      <c r="C31" s="122"/>
      <c r="D31" s="122"/>
      <c r="E31" s="122"/>
      <c r="F31" s="107">
        <f>F173</f>
        <v>3605.84</v>
      </c>
      <c r="G31" s="70"/>
      <c r="H31" s="9"/>
      <c r="M31" s="13"/>
      <c r="N31" s="13"/>
      <c r="O31" s="13"/>
    </row>
    <row r="32" spans="1:15" ht="18" customHeight="1">
      <c r="A32" s="14">
        <v>6</v>
      </c>
      <c r="B32" s="124" t="s">
        <v>6</v>
      </c>
      <c r="C32" s="124"/>
      <c r="D32" s="124"/>
      <c r="E32" s="124"/>
      <c r="F32" s="107">
        <f>F33+F34+F35+F36+F37+F38</f>
        <v>217546.8</v>
      </c>
      <c r="G32" s="11"/>
      <c r="M32" s="13">
        <f>2000*4</f>
        <v>8000</v>
      </c>
      <c r="N32" s="13">
        <f>200*4</f>
        <v>800</v>
      </c>
      <c r="O32" s="13" t="s">
        <v>84</v>
      </c>
    </row>
    <row r="33" spans="1:15" ht="16.5" customHeight="1">
      <c r="A33" s="14" t="s">
        <v>7</v>
      </c>
      <c r="B33" s="124" t="s">
        <v>23</v>
      </c>
      <c r="C33" s="124"/>
      <c r="D33" s="124"/>
      <c r="E33" s="124"/>
      <c r="F33" s="107">
        <f>F92+F93+F94+F95+F96+F97+F98+F99+F100+F101+F102+F103+F104+F105+F106+F107+F108+F109+F110+F111+F112+F113</f>
        <v>20136</v>
      </c>
      <c r="G33" s="9"/>
      <c r="M33" s="13">
        <f>2000*4</f>
        <v>8000</v>
      </c>
      <c r="N33" s="13">
        <f>200*4</f>
        <v>800</v>
      </c>
      <c r="O33" s="13" t="s">
        <v>86</v>
      </c>
    </row>
    <row r="34" spans="1:15" ht="16.5" customHeight="1">
      <c r="A34" s="14" t="s">
        <v>7</v>
      </c>
      <c r="B34" s="124" t="s">
        <v>24</v>
      </c>
      <c r="C34" s="124"/>
      <c r="D34" s="124"/>
      <c r="E34" s="124"/>
      <c r="F34" s="107">
        <f>F59+F60+F61+F62+F63+F64+F65+F66+F67+F68+F69+F70+F71+F72+F73+F74+F75+F76+F77+F78+F79+F80+F81+F82+F83+F84+F85+F86+F87+F88+F89+F90+F91</f>
        <v>79962</v>
      </c>
      <c r="G34" s="9"/>
      <c r="M34" s="13">
        <v>8000</v>
      </c>
      <c r="N34" s="13">
        <v>800</v>
      </c>
      <c r="O34" s="13" t="s">
        <v>87</v>
      </c>
    </row>
    <row r="35" spans="1:15" ht="35.25" customHeight="1">
      <c r="A35" s="14" t="s">
        <v>7</v>
      </c>
      <c r="B35" s="124" t="s">
        <v>206</v>
      </c>
      <c r="C35" s="124"/>
      <c r="D35" s="124"/>
      <c r="E35" s="124"/>
      <c r="F35" s="107">
        <f>F160+F161+F162+F163</f>
        <v>13177</v>
      </c>
      <c r="G35" s="9"/>
      <c r="M35" s="13"/>
      <c r="N35" s="13"/>
      <c r="O35" s="13"/>
    </row>
    <row r="36" spans="1:15" ht="32.25" customHeight="1">
      <c r="A36" s="14" t="s">
        <v>7</v>
      </c>
      <c r="B36" s="124" t="s">
        <v>198</v>
      </c>
      <c r="C36" s="124"/>
      <c r="D36" s="124"/>
      <c r="E36" s="124"/>
      <c r="F36" s="107">
        <f>F169</f>
        <v>52660.8</v>
      </c>
      <c r="G36" s="9"/>
      <c r="M36" s="13"/>
      <c r="N36" s="13"/>
      <c r="O36" s="13"/>
    </row>
    <row r="37" spans="1:15" ht="16.5" customHeight="1">
      <c r="A37" s="14" t="s">
        <v>7</v>
      </c>
      <c r="B37" s="124" t="s">
        <v>135</v>
      </c>
      <c r="C37" s="124"/>
      <c r="D37" s="124"/>
      <c r="E37" s="124"/>
      <c r="F37" s="107">
        <f>F127+F128+F129+F130+F131+F132+F133</f>
        <v>17294</v>
      </c>
      <c r="G37" s="9"/>
      <c r="M37" s="13"/>
      <c r="N37" s="13"/>
      <c r="O37" s="13"/>
    </row>
    <row r="38" spans="1:15" ht="16.5" customHeight="1">
      <c r="A38" s="14" t="s">
        <v>7</v>
      </c>
      <c r="B38" s="124" t="s">
        <v>25</v>
      </c>
      <c r="C38" s="124"/>
      <c r="D38" s="124"/>
      <c r="E38" s="124"/>
      <c r="F38" s="107">
        <f>F114+F115+F116+F117+F118+F119+F120+F121</f>
        <v>34317</v>
      </c>
      <c r="G38" s="9"/>
      <c r="M38" s="13"/>
      <c r="N38" s="13"/>
      <c r="O38" s="13"/>
    </row>
    <row r="39" spans="1:7" ht="16.5" customHeight="1">
      <c r="A39" s="14">
        <v>7</v>
      </c>
      <c r="B39" s="124" t="s">
        <v>99</v>
      </c>
      <c r="C39" s="124"/>
      <c r="D39" s="124"/>
      <c r="E39" s="124"/>
      <c r="F39" s="107">
        <f>F148+F149+F150+F151+F152+F153+F154+F155+F156+F157+F158+F159</f>
        <v>9750</v>
      </c>
      <c r="G39" s="9"/>
    </row>
    <row r="40" spans="1:7" ht="16.5" customHeight="1">
      <c r="A40" s="14">
        <v>8</v>
      </c>
      <c r="B40" s="124" t="s">
        <v>136</v>
      </c>
      <c r="C40" s="124"/>
      <c r="D40" s="124"/>
      <c r="E40" s="124"/>
      <c r="F40" s="107">
        <f>F134+F135+F136+F137+F138+F139+F140+F141+F142+F143+F144+F145+F146+F147</f>
        <v>137376.64</v>
      </c>
      <c r="G40" s="9">
        <f>F74</f>
        <v>28133</v>
      </c>
    </row>
    <row r="41" spans="1:7" ht="17.25" customHeight="1">
      <c r="A41" s="14">
        <v>9</v>
      </c>
      <c r="B41" s="122" t="s">
        <v>35</v>
      </c>
      <c r="C41" s="122"/>
      <c r="D41" s="122"/>
      <c r="E41" s="122"/>
      <c r="F41" s="107">
        <f>D15</f>
        <v>13936.080000000002</v>
      </c>
      <c r="G41" s="9"/>
    </row>
    <row r="42" spans="1:7" ht="17.25" customHeight="1">
      <c r="A42" s="14">
        <v>10</v>
      </c>
      <c r="B42" s="122" t="s">
        <v>36</v>
      </c>
      <c r="C42" s="122"/>
      <c r="D42" s="122"/>
      <c r="E42" s="122"/>
      <c r="F42" s="107">
        <f>D12</f>
        <v>167648.63999999998</v>
      </c>
      <c r="G42" s="9"/>
    </row>
    <row r="43" spans="1:7" ht="33.75" customHeight="1">
      <c r="A43" s="14">
        <v>11</v>
      </c>
      <c r="B43" s="122" t="s">
        <v>207</v>
      </c>
      <c r="C43" s="122"/>
      <c r="D43" s="122"/>
      <c r="E43" s="122"/>
      <c r="F43" s="107">
        <f>F164+F165+F166+F167+F168</f>
        <v>39431</v>
      </c>
      <c r="G43" s="9"/>
    </row>
    <row r="44" spans="1:7" ht="33.75" customHeight="1">
      <c r="A44" s="14">
        <v>12</v>
      </c>
      <c r="B44" s="122" t="s">
        <v>199</v>
      </c>
      <c r="C44" s="122"/>
      <c r="D44" s="122"/>
      <c r="E44" s="122"/>
      <c r="F44" s="107">
        <f>F170</f>
        <v>5000</v>
      </c>
      <c r="G44" s="9"/>
    </row>
    <row r="45" spans="1:7" ht="33.75" customHeight="1">
      <c r="A45" s="14">
        <v>13</v>
      </c>
      <c r="B45" s="122" t="s">
        <v>200</v>
      </c>
      <c r="C45" s="122"/>
      <c r="D45" s="122"/>
      <c r="E45" s="122"/>
      <c r="F45" s="107">
        <f>F171</f>
        <v>1500</v>
      </c>
      <c r="G45" s="9"/>
    </row>
    <row r="46" spans="1:7" ht="17.25" customHeight="1">
      <c r="A46" s="14">
        <v>14</v>
      </c>
      <c r="B46" s="122" t="s">
        <v>146</v>
      </c>
      <c r="C46" s="122"/>
      <c r="D46" s="122"/>
      <c r="E46" s="122"/>
      <c r="F46" s="107">
        <f>D18</f>
        <v>6323.490000000001</v>
      </c>
      <c r="G46" s="9"/>
    </row>
    <row r="47" spans="1:7" ht="17.25" customHeight="1">
      <c r="A47" s="14">
        <v>15</v>
      </c>
      <c r="B47" s="122" t="s">
        <v>147</v>
      </c>
      <c r="C47" s="122"/>
      <c r="D47" s="122"/>
      <c r="E47" s="122"/>
      <c r="F47" s="107">
        <f>D19</f>
        <v>6810.08</v>
      </c>
      <c r="G47" s="9"/>
    </row>
    <row r="48" spans="1:7" ht="17.25" customHeight="1">
      <c r="A48" s="14">
        <v>16</v>
      </c>
      <c r="B48" s="122" t="s">
        <v>148</v>
      </c>
      <c r="C48" s="122"/>
      <c r="D48" s="122"/>
      <c r="E48" s="122"/>
      <c r="F48" s="107">
        <f>D20</f>
        <v>219692.74</v>
      </c>
      <c r="G48" s="9"/>
    </row>
    <row r="49" spans="1:7" ht="17.25" customHeight="1">
      <c r="A49" s="14">
        <v>17</v>
      </c>
      <c r="B49" s="122" t="s">
        <v>60</v>
      </c>
      <c r="C49" s="122"/>
      <c r="D49" s="122"/>
      <c r="E49" s="122"/>
      <c r="F49" s="107">
        <f>D21</f>
        <v>35713.9</v>
      </c>
      <c r="G49" s="9"/>
    </row>
    <row r="50" spans="1:7" ht="17.25" customHeight="1">
      <c r="A50" s="14">
        <v>18</v>
      </c>
      <c r="B50" s="122" t="s">
        <v>210</v>
      </c>
      <c r="C50" s="122"/>
      <c r="D50" s="122"/>
      <c r="E50" s="122"/>
      <c r="F50" s="107">
        <f>F174</f>
        <v>4185</v>
      </c>
      <c r="G50" s="9"/>
    </row>
    <row r="51" spans="1:7" s="25" customFormat="1" ht="21" customHeight="1">
      <c r="A51" s="86"/>
      <c r="B51" s="123" t="s">
        <v>8</v>
      </c>
      <c r="C51" s="123"/>
      <c r="D51" s="123"/>
      <c r="E51" s="123"/>
      <c r="F51" s="27">
        <f>F27+F28+F29+F30+F31+F32+F39+F40+F41+F42+F43+F44+F45+F46+F47+F48+F49+F50</f>
        <v>1544327.7359999998</v>
      </c>
      <c r="G51" s="6"/>
    </row>
    <row r="53" spans="1:6" ht="18" customHeight="1">
      <c r="A53" s="116" t="s">
        <v>144</v>
      </c>
      <c r="B53" s="117"/>
      <c r="C53" s="117"/>
      <c r="D53" s="117"/>
      <c r="E53" s="118"/>
      <c r="F53" s="3">
        <f>D7+D22-F51</f>
        <v>287209.9080000005</v>
      </c>
    </row>
    <row r="54" spans="1:7" ht="20.25" customHeight="1">
      <c r="A54" s="116" t="s">
        <v>145</v>
      </c>
      <c r="B54" s="117"/>
      <c r="C54" s="117"/>
      <c r="D54" s="117"/>
      <c r="E54" s="118"/>
      <c r="F54" s="3">
        <f>F22</f>
        <v>-294786.25</v>
      </c>
      <c r="G54" s="58"/>
    </row>
    <row r="55" spans="1:6" ht="18" customHeight="1">
      <c r="A55" s="40" t="s">
        <v>56</v>
      </c>
      <c r="B55" s="40"/>
      <c r="C55" s="40"/>
      <c r="D55" s="40"/>
      <c r="E55" s="40"/>
      <c r="F55" s="3">
        <f>F53+F54</f>
        <v>-7576.34199999948</v>
      </c>
    </row>
    <row r="56" ht="11.25" customHeight="1"/>
    <row r="58" spans="1:6" ht="15.75">
      <c r="A58" s="89" t="s">
        <v>14</v>
      </c>
      <c r="B58" s="89" t="s">
        <v>9</v>
      </c>
      <c r="C58" s="119" t="s">
        <v>26</v>
      </c>
      <c r="D58" s="120"/>
      <c r="E58" s="121"/>
      <c r="F58" s="89" t="s">
        <v>27</v>
      </c>
    </row>
    <row r="59" spans="1:6" s="33" customFormat="1" ht="45">
      <c r="A59" s="89"/>
      <c r="B59" s="90" t="s">
        <v>149</v>
      </c>
      <c r="C59" s="112" t="s">
        <v>150</v>
      </c>
      <c r="D59" s="113"/>
      <c r="E59" s="114"/>
      <c r="F59" s="91">
        <f>170*7</f>
        <v>1190</v>
      </c>
    </row>
    <row r="60" spans="1:6" s="33" customFormat="1" ht="15.75">
      <c r="A60" s="89"/>
      <c r="B60" s="92">
        <v>42751</v>
      </c>
      <c r="C60" s="112" t="s">
        <v>151</v>
      </c>
      <c r="D60" s="113"/>
      <c r="E60" s="114"/>
      <c r="F60" s="91">
        <v>720</v>
      </c>
    </row>
    <row r="61" spans="1:6" s="33" customFormat="1" ht="15.75">
      <c r="A61" s="93"/>
      <c r="B61" s="92">
        <v>42767</v>
      </c>
      <c r="C61" s="112" t="s">
        <v>152</v>
      </c>
      <c r="D61" s="113"/>
      <c r="E61" s="114"/>
      <c r="F61" s="91">
        <v>8084</v>
      </c>
    </row>
    <row r="62" spans="1:6" s="33" customFormat="1" ht="15.75">
      <c r="A62" s="93"/>
      <c r="B62" s="92">
        <v>42773</v>
      </c>
      <c r="C62" s="112" t="s">
        <v>153</v>
      </c>
      <c r="D62" s="113"/>
      <c r="E62" s="114"/>
      <c r="F62" s="91">
        <v>8902</v>
      </c>
    </row>
    <row r="63" spans="1:6" s="33" customFormat="1" ht="15.75">
      <c r="A63" s="93"/>
      <c r="B63" s="92">
        <v>42773</v>
      </c>
      <c r="C63" s="112" t="s">
        <v>154</v>
      </c>
      <c r="D63" s="113"/>
      <c r="E63" s="114"/>
      <c r="F63" s="91">
        <v>8121</v>
      </c>
    </row>
    <row r="64" spans="1:6" s="33" customFormat="1" ht="15.75">
      <c r="A64" s="93"/>
      <c r="B64" s="92">
        <v>42773</v>
      </c>
      <c r="C64" s="112" t="s">
        <v>155</v>
      </c>
      <c r="D64" s="113"/>
      <c r="E64" s="114"/>
      <c r="F64" s="91">
        <v>4500</v>
      </c>
    </row>
    <row r="65" spans="1:6" s="33" customFormat="1" ht="15.75">
      <c r="A65" s="93"/>
      <c r="B65" s="92">
        <v>42797</v>
      </c>
      <c r="C65" s="112" t="s">
        <v>156</v>
      </c>
      <c r="D65" s="113"/>
      <c r="E65" s="114"/>
      <c r="F65" s="91">
        <v>468</v>
      </c>
    </row>
    <row r="66" spans="1:6" s="33" customFormat="1" ht="15.75">
      <c r="A66" s="93"/>
      <c r="B66" s="92">
        <v>42807</v>
      </c>
      <c r="C66" s="112" t="s">
        <v>157</v>
      </c>
      <c r="D66" s="113"/>
      <c r="E66" s="114"/>
      <c r="F66" s="91">
        <v>1618</v>
      </c>
    </row>
    <row r="67" spans="1:6" s="33" customFormat="1" ht="15.75">
      <c r="A67" s="93"/>
      <c r="B67" s="92">
        <v>42821</v>
      </c>
      <c r="C67" s="112" t="s">
        <v>158</v>
      </c>
      <c r="D67" s="113"/>
      <c r="E67" s="114"/>
      <c r="F67" s="91">
        <v>425</v>
      </c>
    </row>
    <row r="68" spans="1:6" s="67" customFormat="1" ht="30" customHeight="1">
      <c r="A68" s="93"/>
      <c r="B68" s="92">
        <v>42849</v>
      </c>
      <c r="C68" s="112" t="s">
        <v>159</v>
      </c>
      <c r="D68" s="113"/>
      <c r="E68" s="114"/>
      <c r="F68" s="91">
        <v>425</v>
      </c>
    </row>
    <row r="69" spans="1:6" s="67" customFormat="1" ht="30" customHeight="1">
      <c r="A69" s="93"/>
      <c r="B69" s="92">
        <v>42865</v>
      </c>
      <c r="C69" s="112" t="s">
        <v>160</v>
      </c>
      <c r="D69" s="113"/>
      <c r="E69" s="114"/>
      <c r="F69" s="91">
        <v>622</v>
      </c>
    </row>
    <row r="70" spans="1:6" s="33" customFormat="1" ht="15.75">
      <c r="A70" s="93"/>
      <c r="B70" s="92">
        <v>42873</v>
      </c>
      <c r="C70" s="112" t="s">
        <v>161</v>
      </c>
      <c r="D70" s="113"/>
      <c r="E70" s="114"/>
      <c r="F70" s="91">
        <v>735</v>
      </c>
    </row>
    <row r="71" spans="1:6" s="33" customFormat="1" ht="15.75">
      <c r="A71" s="93"/>
      <c r="B71" s="92">
        <v>42873</v>
      </c>
      <c r="C71" s="112" t="s">
        <v>162</v>
      </c>
      <c r="D71" s="113"/>
      <c r="E71" s="114"/>
      <c r="F71" s="91">
        <v>871</v>
      </c>
    </row>
    <row r="72" spans="1:6" s="67" customFormat="1" ht="30" customHeight="1">
      <c r="A72" s="93"/>
      <c r="B72" s="92">
        <v>42873</v>
      </c>
      <c r="C72" s="112" t="s">
        <v>163</v>
      </c>
      <c r="D72" s="113"/>
      <c r="E72" s="114"/>
      <c r="F72" s="91">
        <v>1437</v>
      </c>
    </row>
    <row r="73" spans="1:6" s="67" customFormat="1" ht="30" customHeight="1">
      <c r="A73" s="93"/>
      <c r="B73" s="92">
        <v>42873</v>
      </c>
      <c r="C73" s="112" t="s">
        <v>164</v>
      </c>
      <c r="D73" s="113"/>
      <c r="E73" s="114"/>
      <c r="F73" s="91">
        <v>1007</v>
      </c>
    </row>
    <row r="74" spans="1:6" s="33" customFormat="1" ht="15.75">
      <c r="A74" s="93"/>
      <c r="B74" s="92">
        <v>42936</v>
      </c>
      <c r="C74" s="112" t="s">
        <v>165</v>
      </c>
      <c r="D74" s="113"/>
      <c r="E74" s="114"/>
      <c r="F74" s="91">
        <v>28133</v>
      </c>
    </row>
    <row r="75" spans="1:6" s="33" customFormat="1" ht="15.75">
      <c r="A75" s="93"/>
      <c r="B75" s="92">
        <v>42978</v>
      </c>
      <c r="C75" s="112" t="s">
        <v>166</v>
      </c>
      <c r="D75" s="113"/>
      <c r="E75" s="114"/>
      <c r="F75" s="91">
        <v>1135</v>
      </c>
    </row>
    <row r="76" spans="1:6" s="33" customFormat="1" ht="15.75">
      <c r="A76" s="93"/>
      <c r="B76" s="92">
        <v>43008</v>
      </c>
      <c r="C76" s="112" t="s">
        <v>166</v>
      </c>
      <c r="D76" s="113"/>
      <c r="E76" s="114"/>
      <c r="F76" s="91">
        <v>1135</v>
      </c>
    </row>
    <row r="77" spans="1:6" s="33" customFormat="1" ht="15.75">
      <c r="A77" s="93"/>
      <c r="B77" s="92">
        <v>42983</v>
      </c>
      <c r="C77" s="112" t="s">
        <v>151</v>
      </c>
      <c r="D77" s="113"/>
      <c r="E77" s="114"/>
      <c r="F77" s="91">
        <v>496</v>
      </c>
    </row>
    <row r="78" spans="1:6" s="33" customFormat="1" ht="15.75">
      <c r="A78" s="93"/>
      <c r="B78" s="92">
        <v>43000</v>
      </c>
      <c r="C78" s="112" t="s">
        <v>167</v>
      </c>
      <c r="D78" s="113"/>
      <c r="E78" s="114"/>
      <c r="F78" s="91">
        <v>530</v>
      </c>
    </row>
    <row r="79" spans="1:6" s="67" customFormat="1" ht="30" customHeight="1">
      <c r="A79" s="93"/>
      <c r="B79" s="92">
        <v>43011</v>
      </c>
      <c r="C79" s="112" t="s">
        <v>167</v>
      </c>
      <c r="D79" s="113"/>
      <c r="E79" s="114"/>
      <c r="F79" s="91">
        <v>460</v>
      </c>
    </row>
    <row r="80" spans="1:6" s="33" customFormat="1" ht="15.75">
      <c r="A80" s="93"/>
      <c r="B80" s="92">
        <v>43027</v>
      </c>
      <c r="C80" s="112" t="s">
        <v>167</v>
      </c>
      <c r="D80" s="113"/>
      <c r="E80" s="114"/>
      <c r="F80" s="91">
        <v>530</v>
      </c>
    </row>
    <row r="81" spans="1:6" s="33" customFormat="1" ht="15.75">
      <c r="A81" s="93"/>
      <c r="B81" s="92">
        <v>43028</v>
      </c>
      <c r="C81" s="112" t="s">
        <v>168</v>
      </c>
      <c r="D81" s="113"/>
      <c r="E81" s="114"/>
      <c r="F81" s="91">
        <v>998</v>
      </c>
    </row>
    <row r="82" spans="1:6" s="33" customFormat="1" ht="15.75">
      <c r="A82" s="93"/>
      <c r="B82" s="92">
        <v>43031</v>
      </c>
      <c r="C82" s="112" t="s">
        <v>169</v>
      </c>
      <c r="D82" s="113"/>
      <c r="E82" s="114"/>
      <c r="F82" s="91">
        <v>584</v>
      </c>
    </row>
    <row r="83" spans="1:6" s="67" customFormat="1" ht="30" customHeight="1">
      <c r="A83" s="93"/>
      <c r="B83" s="92">
        <v>43035</v>
      </c>
      <c r="C83" s="112" t="s">
        <v>158</v>
      </c>
      <c r="D83" s="113"/>
      <c r="E83" s="114"/>
      <c r="F83" s="91">
        <v>425</v>
      </c>
    </row>
    <row r="84" spans="1:6" s="33" customFormat="1" ht="15.75">
      <c r="A84" s="93"/>
      <c r="B84" s="92">
        <v>43039</v>
      </c>
      <c r="C84" s="112" t="s">
        <v>166</v>
      </c>
      <c r="D84" s="113"/>
      <c r="E84" s="114"/>
      <c r="F84" s="91">
        <v>1155</v>
      </c>
    </row>
    <row r="85" spans="1:6" s="33" customFormat="1" ht="15.75">
      <c r="A85" s="93"/>
      <c r="B85" s="92">
        <v>43055</v>
      </c>
      <c r="C85" s="112" t="s">
        <v>167</v>
      </c>
      <c r="D85" s="113"/>
      <c r="E85" s="114"/>
      <c r="F85" s="91">
        <v>566</v>
      </c>
    </row>
    <row r="86" spans="1:6" s="67" customFormat="1" ht="30" customHeight="1">
      <c r="A86" s="93"/>
      <c r="B86" s="92">
        <v>43060</v>
      </c>
      <c r="C86" s="112" t="s">
        <v>167</v>
      </c>
      <c r="D86" s="113"/>
      <c r="E86" s="114"/>
      <c r="F86" s="91">
        <v>510</v>
      </c>
    </row>
    <row r="87" spans="1:6" s="67" customFormat="1" ht="30" customHeight="1">
      <c r="A87" s="93"/>
      <c r="B87" s="92">
        <v>43069</v>
      </c>
      <c r="C87" s="112" t="s">
        <v>158</v>
      </c>
      <c r="D87" s="113"/>
      <c r="E87" s="114"/>
      <c r="F87" s="91">
        <v>425</v>
      </c>
    </row>
    <row r="88" spans="1:6" s="33" customFormat="1" ht="15.75">
      <c r="A88" s="93"/>
      <c r="B88" s="92">
        <v>43069</v>
      </c>
      <c r="C88" s="112" t="s">
        <v>166</v>
      </c>
      <c r="D88" s="113"/>
      <c r="E88" s="114"/>
      <c r="F88" s="91">
        <v>1155</v>
      </c>
    </row>
    <row r="89" spans="1:6" s="33" customFormat="1" ht="15.75">
      <c r="A89" s="93"/>
      <c r="B89" s="92">
        <v>43098</v>
      </c>
      <c r="C89" s="112" t="s">
        <v>166</v>
      </c>
      <c r="D89" s="113"/>
      <c r="E89" s="114"/>
      <c r="F89" s="91">
        <v>1135</v>
      </c>
    </row>
    <row r="90" spans="1:6" s="33" customFormat="1" ht="15.75">
      <c r="A90" s="93"/>
      <c r="B90" s="92">
        <v>43076</v>
      </c>
      <c r="C90" s="112" t="s">
        <v>167</v>
      </c>
      <c r="D90" s="113"/>
      <c r="E90" s="114"/>
      <c r="F90" s="91">
        <v>530</v>
      </c>
    </row>
    <row r="91" spans="1:6" s="33" customFormat="1" ht="15.75">
      <c r="A91" s="93"/>
      <c r="B91" s="92">
        <v>43081</v>
      </c>
      <c r="C91" s="112" t="s">
        <v>161</v>
      </c>
      <c r="D91" s="113"/>
      <c r="E91" s="114"/>
      <c r="F91" s="91">
        <v>935</v>
      </c>
    </row>
    <row r="92" spans="1:6" s="67" customFormat="1" ht="15.75">
      <c r="A92" s="93"/>
      <c r="B92" s="92">
        <v>42794</v>
      </c>
      <c r="C92" s="112" t="s">
        <v>170</v>
      </c>
      <c r="D92" s="113"/>
      <c r="E92" s="114"/>
      <c r="F92" s="94">
        <v>654</v>
      </c>
    </row>
    <row r="93" spans="1:6" s="67" customFormat="1" ht="30" customHeight="1">
      <c r="A93" s="93"/>
      <c r="B93" s="92">
        <v>42843</v>
      </c>
      <c r="C93" s="112" t="s">
        <v>170</v>
      </c>
      <c r="D93" s="113"/>
      <c r="E93" s="114"/>
      <c r="F93" s="94">
        <v>377</v>
      </c>
    </row>
    <row r="94" spans="1:6" s="67" customFormat="1" ht="30" customHeight="1">
      <c r="A94" s="93"/>
      <c r="B94" s="92">
        <v>42857</v>
      </c>
      <c r="C94" s="112" t="s">
        <v>170</v>
      </c>
      <c r="D94" s="113"/>
      <c r="E94" s="114"/>
      <c r="F94" s="94">
        <v>377</v>
      </c>
    </row>
    <row r="95" spans="1:6" s="33" customFormat="1" ht="15.75">
      <c r="A95" s="93"/>
      <c r="B95" s="92">
        <v>42893</v>
      </c>
      <c r="C95" s="112" t="s">
        <v>170</v>
      </c>
      <c r="D95" s="113"/>
      <c r="E95" s="114"/>
      <c r="F95" s="94">
        <v>654</v>
      </c>
    </row>
    <row r="96" spans="1:6" s="33" customFormat="1" ht="15.75">
      <c r="A96" s="93"/>
      <c r="B96" s="92">
        <v>42899</v>
      </c>
      <c r="C96" s="112" t="s">
        <v>170</v>
      </c>
      <c r="D96" s="113"/>
      <c r="E96" s="114"/>
      <c r="F96" s="94">
        <v>931</v>
      </c>
    </row>
    <row r="97" spans="1:6" s="67" customFormat="1" ht="30" customHeight="1">
      <c r="A97" s="93"/>
      <c r="B97" s="92">
        <v>42914</v>
      </c>
      <c r="C97" s="112" t="s">
        <v>170</v>
      </c>
      <c r="D97" s="113"/>
      <c r="E97" s="114"/>
      <c r="F97" s="94">
        <v>654</v>
      </c>
    </row>
    <row r="98" spans="1:6" s="33" customFormat="1" ht="15.75">
      <c r="A98" s="93"/>
      <c r="B98" s="92">
        <v>42915</v>
      </c>
      <c r="C98" s="112" t="s">
        <v>171</v>
      </c>
      <c r="D98" s="113"/>
      <c r="E98" s="114"/>
      <c r="F98" s="94">
        <v>2433</v>
      </c>
    </row>
    <row r="99" spans="1:6" s="67" customFormat="1" ht="30" customHeight="1">
      <c r="A99" s="93"/>
      <c r="B99" s="92">
        <v>42926</v>
      </c>
      <c r="C99" s="112" t="s">
        <v>172</v>
      </c>
      <c r="D99" s="113"/>
      <c r="E99" s="114"/>
      <c r="F99" s="94">
        <v>1098</v>
      </c>
    </row>
    <row r="100" spans="1:6" s="33" customFormat="1" ht="15.75">
      <c r="A100" s="93"/>
      <c r="B100" s="92">
        <v>42927</v>
      </c>
      <c r="C100" s="112" t="s">
        <v>173</v>
      </c>
      <c r="D100" s="113"/>
      <c r="E100" s="114"/>
      <c r="F100" s="94">
        <v>673</v>
      </c>
    </row>
    <row r="101" spans="1:6" s="67" customFormat="1" ht="30" customHeight="1">
      <c r="A101" s="93"/>
      <c r="B101" s="92">
        <v>42929</v>
      </c>
      <c r="C101" s="112" t="s">
        <v>170</v>
      </c>
      <c r="D101" s="113"/>
      <c r="E101" s="114"/>
      <c r="F101" s="94">
        <v>654</v>
      </c>
    </row>
    <row r="102" spans="1:6" s="33" customFormat="1" ht="15.75">
      <c r="A102" s="93"/>
      <c r="B102" s="92">
        <v>42948</v>
      </c>
      <c r="C102" s="112" t="s">
        <v>170</v>
      </c>
      <c r="D102" s="113"/>
      <c r="E102" s="114"/>
      <c r="F102" s="94">
        <v>654</v>
      </c>
    </row>
    <row r="103" spans="1:6" s="33" customFormat="1" ht="15.75">
      <c r="A103" s="93"/>
      <c r="B103" s="92">
        <v>42964</v>
      </c>
      <c r="C103" s="112" t="s">
        <v>170</v>
      </c>
      <c r="D103" s="113"/>
      <c r="E103" s="114"/>
      <c r="F103" s="94">
        <v>377</v>
      </c>
    </row>
    <row r="104" spans="1:6" s="67" customFormat="1" ht="30" customHeight="1">
      <c r="A104" s="93"/>
      <c r="B104" s="92">
        <v>42964</v>
      </c>
      <c r="C104" s="112" t="s">
        <v>170</v>
      </c>
      <c r="D104" s="113"/>
      <c r="E104" s="114"/>
      <c r="F104" s="94">
        <v>654</v>
      </c>
    </row>
    <row r="105" spans="1:6" s="67" customFormat="1" ht="30" customHeight="1">
      <c r="A105" s="93"/>
      <c r="B105" s="92">
        <v>42984</v>
      </c>
      <c r="C105" s="112" t="s">
        <v>174</v>
      </c>
      <c r="D105" s="113"/>
      <c r="E105" s="114"/>
      <c r="F105" s="94">
        <v>773</v>
      </c>
    </row>
    <row r="106" spans="1:6" s="67" customFormat="1" ht="30" customHeight="1">
      <c r="A106" s="93"/>
      <c r="B106" s="92">
        <v>43000</v>
      </c>
      <c r="C106" s="112" t="s">
        <v>170</v>
      </c>
      <c r="D106" s="113"/>
      <c r="E106" s="114"/>
      <c r="F106" s="94">
        <v>931</v>
      </c>
    </row>
    <row r="107" spans="1:6" s="67" customFormat="1" ht="30" customHeight="1">
      <c r="A107" s="93"/>
      <c r="B107" s="92">
        <v>43021</v>
      </c>
      <c r="C107" s="112" t="s">
        <v>170</v>
      </c>
      <c r="D107" s="113"/>
      <c r="E107" s="114"/>
      <c r="F107" s="94">
        <v>1862</v>
      </c>
    </row>
    <row r="108" spans="1:6" s="67" customFormat="1" ht="30" customHeight="1">
      <c r="A108" s="93"/>
      <c r="B108" s="92">
        <v>43026</v>
      </c>
      <c r="C108" s="112" t="s">
        <v>170</v>
      </c>
      <c r="D108" s="113"/>
      <c r="E108" s="114"/>
      <c r="F108" s="94">
        <v>2239</v>
      </c>
    </row>
    <row r="109" spans="1:6" s="67" customFormat="1" ht="30" customHeight="1">
      <c r="A109" s="93"/>
      <c r="B109" s="92">
        <v>43048</v>
      </c>
      <c r="C109" s="112" t="s">
        <v>170</v>
      </c>
      <c r="D109" s="113"/>
      <c r="E109" s="114"/>
      <c r="F109" s="94">
        <v>931</v>
      </c>
    </row>
    <row r="110" spans="1:6" s="33" customFormat="1" ht="15.75">
      <c r="A110" s="93"/>
      <c r="B110" s="92">
        <v>43053</v>
      </c>
      <c r="C110" s="112" t="s">
        <v>170</v>
      </c>
      <c r="D110" s="113"/>
      <c r="E110" s="114"/>
      <c r="F110" s="94">
        <v>654</v>
      </c>
    </row>
    <row r="111" spans="1:6" s="67" customFormat="1" ht="30" customHeight="1">
      <c r="A111" s="93"/>
      <c r="B111" s="92">
        <v>43076</v>
      </c>
      <c r="C111" s="112" t="s">
        <v>170</v>
      </c>
      <c r="D111" s="113"/>
      <c r="E111" s="114"/>
      <c r="F111" s="94">
        <v>931</v>
      </c>
    </row>
    <row r="112" spans="1:6" s="33" customFormat="1" ht="15.75">
      <c r="A112" s="93"/>
      <c r="B112" s="92">
        <v>43077</v>
      </c>
      <c r="C112" s="112" t="s">
        <v>175</v>
      </c>
      <c r="D112" s="113"/>
      <c r="E112" s="114"/>
      <c r="F112" s="94">
        <v>1248</v>
      </c>
    </row>
    <row r="113" spans="1:6" s="33" customFormat="1" ht="15.75">
      <c r="A113" s="93"/>
      <c r="B113" s="92">
        <v>43095</v>
      </c>
      <c r="C113" s="112" t="s">
        <v>170</v>
      </c>
      <c r="D113" s="113"/>
      <c r="E113" s="114"/>
      <c r="F113" s="94">
        <v>377</v>
      </c>
    </row>
    <row r="114" spans="1:6" s="33" customFormat="1" ht="15.75">
      <c r="A114" s="93"/>
      <c r="B114" s="92">
        <v>42744</v>
      </c>
      <c r="C114" s="112" t="s">
        <v>176</v>
      </c>
      <c r="D114" s="113"/>
      <c r="E114" s="114"/>
      <c r="F114" s="95">
        <v>2297</v>
      </c>
    </row>
    <row r="115" spans="1:6" s="33" customFormat="1" ht="15.75">
      <c r="A115" s="93"/>
      <c r="B115" s="92">
        <v>42755</v>
      </c>
      <c r="C115" s="112" t="s">
        <v>177</v>
      </c>
      <c r="D115" s="113"/>
      <c r="E115" s="114"/>
      <c r="F115" s="95">
        <v>10426</v>
      </c>
    </row>
    <row r="116" spans="1:6" s="67" customFormat="1" ht="30" customHeight="1">
      <c r="A116" s="93"/>
      <c r="B116" s="92">
        <v>42921</v>
      </c>
      <c r="C116" s="112" t="s">
        <v>178</v>
      </c>
      <c r="D116" s="113"/>
      <c r="E116" s="114"/>
      <c r="F116" s="95">
        <v>3994</v>
      </c>
    </row>
    <row r="117" spans="1:6" s="67" customFormat="1" ht="15.75">
      <c r="A117" s="93"/>
      <c r="B117" s="92">
        <v>42901</v>
      </c>
      <c r="C117" s="112" t="s">
        <v>179</v>
      </c>
      <c r="D117" s="113"/>
      <c r="E117" s="114"/>
      <c r="F117" s="95">
        <v>3516</v>
      </c>
    </row>
    <row r="118" spans="1:6" s="67" customFormat="1" ht="30" customHeight="1">
      <c r="A118" s="93"/>
      <c r="B118" s="92">
        <v>43000</v>
      </c>
      <c r="C118" s="112" t="s">
        <v>179</v>
      </c>
      <c r="D118" s="113"/>
      <c r="E118" s="114"/>
      <c r="F118" s="95">
        <v>1787</v>
      </c>
    </row>
    <row r="119" spans="1:6" s="33" customFormat="1" ht="15.75">
      <c r="A119" s="93"/>
      <c r="B119" s="92">
        <v>42978</v>
      </c>
      <c r="C119" s="112" t="s">
        <v>180</v>
      </c>
      <c r="D119" s="113"/>
      <c r="E119" s="114"/>
      <c r="F119" s="95">
        <v>540</v>
      </c>
    </row>
    <row r="120" spans="1:6" s="67" customFormat="1" ht="30" customHeight="1">
      <c r="A120" s="93"/>
      <c r="B120" s="92">
        <v>42990</v>
      </c>
      <c r="C120" s="112" t="s">
        <v>181</v>
      </c>
      <c r="D120" s="113"/>
      <c r="E120" s="114"/>
      <c r="F120" s="95">
        <v>6471</v>
      </c>
    </row>
    <row r="121" spans="1:6" s="67" customFormat="1" ht="30" customHeight="1">
      <c r="A121" s="93"/>
      <c r="B121" s="92">
        <v>42990</v>
      </c>
      <c r="C121" s="112" t="s">
        <v>181</v>
      </c>
      <c r="D121" s="113"/>
      <c r="E121" s="114"/>
      <c r="F121" s="95">
        <v>5286</v>
      </c>
    </row>
    <row r="122" spans="1:6" s="67" customFormat="1" ht="30" customHeight="1">
      <c r="A122" s="93"/>
      <c r="B122" s="92">
        <v>42886</v>
      </c>
      <c r="C122" s="96" t="s">
        <v>182</v>
      </c>
      <c r="D122" s="97"/>
      <c r="E122" s="98"/>
      <c r="F122" s="93">
        <v>1512</v>
      </c>
    </row>
    <row r="123" spans="1:6" s="33" customFormat="1" ht="15.75">
      <c r="A123" s="93"/>
      <c r="B123" s="92">
        <v>42916</v>
      </c>
      <c r="C123" s="96" t="s">
        <v>182</v>
      </c>
      <c r="D123" s="97"/>
      <c r="E123" s="98"/>
      <c r="F123" s="93">
        <v>1512</v>
      </c>
    </row>
    <row r="124" spans="1:6" s="33" customFormat="1" ht="15.75">
      <c r="A124" s="93"/>
      <c r="B124" s="92">
        <v>42947</v>
      </c>
      <c r="C124" s="96" t="s">
        <v>182</v>
      </c>
      <c r="D124" s="97"/>
      <c r="E124" s="98"/>
      <c r="F124" s="93">
        <v>1512</v>
      </c>
    </row>
    <row r="125" spans="1:6" s="33" customFormat="1" ht="15.75">
      <c r="A125" s="93"/>
      <c r="B125" s="92">
        <v>42978</v>
      </c>
      <c r="C125" s="96" t="s">
        <v>182</v>
      </c>
      <c r="D125" s="97"/>
      <c r="E125" s="98"/>
      <c r="F125" s="93">
        <v>1512</v>
      </c>
    </row>
    <row r="126" spans="1:6" s="33" customFormat="1" ht="15.75">
      <c r="A126" s="93"/>
      <c r="B126" s="92">
        <v>43039</v>
      </c>
      <c r="C126" s="96" t="s">
        <v>182</v>
      </c>
      <c r="D126" s="97"/>
      <c r="E126" s="98"/>
      <c r="F126" s="93">
        <v>1512</v>
      </c>
    </row>
    <row r="127" spans="1:6" s="33" customFormat="1" ht="15.75">
      <c r="A127" s="93"/>
      <c r="B127" s="92">
        <v>42736</v>
      </c>
      <c r="C127" s="108" t="s">
        <v>183</v>
      </c>
      <c r="D127" s="109"/>
      <c r="E127" s="110"/>
      <c r="F127" s="102">
        <v>7500</v>
      </c>
    </row>
    <row r="128" spans="1:6" s="33" customFormat="1" ht="15.75">
      <c r="A128" s="93"/>
      <c r="B128" s="92">
        <v>42743</v>
      </c>
      <c r="C128" s="108" t="s">
        <v>187</v>
      </c>
      <c r="D128" s="109"/>
      <c r="E128" s="110"/>
      <c r="F128" s="102">
        <v>1794</v>
      </c>
    </row>
    <row r="129" spans="1:6" s="33" customFormat="1" ht="15.75">
      <c r="A129" s="93"/>
      <c r="B129" s="92">
        <v>42931</v>
      </c>
      <c r="C129" s="108" t="s">
        <v>188</v>
      </c>
      <c r="D129" s="109"/>
      <c r="E129" s="110"/>
      <c r="F129" s="102">
        <v>690</v>
      </c>
    </row>
    <row r="130" spans="1:6" s="33" customFormat="1" ht="15.75">
      <c r="A130" s="93"/>
      <c r="B130" s="92">
        <v>42943</v>
      </c>
      <c r="C130" s="108" t="s">
        <v>189</v>
      </c>
      <c r="D130" s="109"/>
      <c r="E130" s="110"/>
      <c r="F130" s="102">
        <v>740</v>
      </c>
    </row>
    <row r="131" spans="1:6" s="33" customFormat="1" ht="15.75">
      <c r="A131" s="93"/>
      <c r="B131" s="92">
        <v>42964</v>
      </c>
      <c r="C131" s="108" t="s">
        <v>190</v>
      </c>
      <c r="D131" s="109"/>
      <c r="E131" s="110"/>
      <c r="F131" s="102">
        <v>1380</v>
      </c>
    </row>
    <row r="132" spans="1:6" s="33" customFormat="1" ht="15.75">
      <c r="A132" s="93"/>
      <c r="B132" s="92">
        <v>43022</v>
      </c>
      <c r="C132" s="108" t="s">
        <v>191</v>
      </c>
      <c r="D132" s="109"/>
      <c r="E132" s="110"/>
      <c r="F132" s="102">
        <v>690</v>
      </c>
    </row>
    <row r="133" spans="1:6" s="33" customFormat="1" ht="15.75">
      <c r="A133" s="93"/>
      <c r="B133" s="92">
        <v>43046</v>
      </c>
      <c r="C133" s="112" t="s">
        <v>205</v>
      </c>
      <c r="D133" s="113"/>
      <c r="E133" s="114"/>
      <c r="F133" s="102">
        <v>4500</v>
      </c>
    </row>
    <row r="134" spans="1:6" s="33" customFormat="1" ht="15.75">
      <c r="A134" s="93"/>
      <c r="B134" s="92">
        <v>42754</v>
      </c>
      <c r="C134" s="108" t="s">
        <v>184</v>
      </c>
      <c r="D134" s="109"/>
      <c r="E134" s="110"/>
      <c r="F134" s="105">
        <f>392.16*4</f>
        <v>1568.64</v>
      </c>
    </row>
    <row r="135" spans="1:6" s="33" customFormat="1" ht="15.75">
      <c r="A135" s="93"/>
      <c r="B135" s="92">
        <v>42824</v>
      </c>
      <c r="C135" s="112" t="s">
        <v>185</v>
      </c>
      <c r="D135" s="113"/>
      <c r="E135" s="114"/>
      <c r="F135" s="105">
        <f>2800*4</f>
        <v>11200</v>
      </c>
    </row>
    <row r="136" spans="1:6" s="33" customFormat="1" ht="15.75">
      <c r="A136" s="93"/>
      <c r="B136" s="92">
        <v>42761</v>
      </c>
      <c r="C136" s="108" t="s">
        <v>186</v>
      </c>
      <c r="D136" s="109"/>
      <c r="E136" s="110"/>
      <c r="F136" s="105">
        <f aca="true" t="shared" si="1" ref="F136:F147">2360*4+236*4</f>
        <v>10384</v>
      </c>
    </row>
    <row r="137" spans="1:6" s="33" customFormat="1" ht="15.75">
      <c r="A137" s="93"/>
      <c r="B137" s="92">
        <v>42786</v>
      </c>
      <c r="C137" s="108" t="s">
        <v>186</v>
      </c>
      <c r="D137" s="109"/>
      <c r="E137" s="110"/>
      <c r="F137" s="105">
        <f t="shared" si="1"/>
        <v>10384</v>
      </c>
    </row>
    <row r="138" spans="1:6" s="33" customFormat="1" ht="15.75">
      <c r="A138" s="93"/>
      <c r="B138" s="92">
        <v>42817</v>
      </c>
      <c r="C138" s="108" t="s">
        <v>186</v>
      </c>
      <c r="D138" s="109"/>
      <c r="E138" s="110"/>
      <c r="F138" s="105">
        <f t="shared" si="1"/>
        <v>10384</v>
      </c>
    </row>
    <row r="139" spans="1:6" s="33" customFormat="1" ht="15.75">
      <c r="A139" s="93"/>
      <c r="B139" s="92">
        <v>42849</v>
      </c>
      <c r="C139" s="108" t="s">
        <v>186</v>
      </c>
      <c r="D139" s="109"/>
      <c r="E139" s="110"/>
      <c r="F139" s="105">
        <f t="shared" si="1"/>
        <v>10384</v>
      </c>
    </row>
    <row r="140" spans="1:6" s="33" customFormat="1" ht="15.75">
      <c r="A140" s="93"/>
      <c r="B140" s="92">
        <v>42878</v>
      </c>
      <c r="C140" s="108" t="s">
        <v>186</v>
      </c>
      <c r="D140" s="109"/>
      <c r="E140" s="110"/>
      <c r="F140" s="105">
        <f t="shared" si="1"/>
        <v>10384</v>
      </c>
    </row>
    <row r="141" spans="1:6" s="33" customFormat="1" ht="15.75">
      <c r="A141" s="93"/>
      <c r="B141" s="92">
        <v>42909</v>
      </c>
      <c r="C141" s="108" t="s">
        <v>186</v>
      </c>
      <c r="D141" s="109"/>
      <c r="E141" s="110"/>
      <c r="F141" s="105">
        <f t="shared" si="1"/>
        <v>10384</v>
      </c>
    </row>
    <row r="142" spans="1:6" s="33" customFormat="1" ht="15.75">
      <c r="A142" s="93"/>
      <c r="B142" s="92">
        <v>42940</v>
      </c>
      <c r="C142" s="108" t="s">
        <v>186</v>
      </c>
      <c r="D142" s="109"/>
      <c r="E142" s="110"/>
      <c r="F142" s="105">
        <f t="shared" si="1"/>
        <v>10384</v>
      </c>
    </row>
    <row r="143" spans="1:6" s="33" customFormat="1" ht="15.75">
      <c r="A143" s="93"/>
      <c r="B143" s="92">
        <v>42970</v>
      </c>
      <c r="C143" s="108" t="s">
        <v>186</v>
      </c>
      <c r="D143" s="109"/>
      <c r="E143" s="110"/>
      <c r="F143" s="105">
        <f t="shared" si="1"/>
        <v>10384</v>
      </c>
    </row>
    <row r="144" spans="1:6" s="33" customFormat="1" ht="15.75">
      <c r="A144" s="93"/>
      <c r="B144" s="92">
        <v>43000</v>
      </c>
      <c r="C144" s="108" t="s">
        <v>186</v>
      </c>
      <c r="D144" s="109"/>
      <c r="E144" s="110"/>
      <c r="F144" s="105">
        <f t="shared" si="1"/>
        <v>10384</v>
      </c>
    </row>
    <row r="145" spans="1:6" s="33" customFormat="1" ht="15.75">
      <c r="A145" s="93"/>
      <c r="B145" s="92">
        <v>43031</v>
      </c>
      <c r="C145" s="108" t="s">
        <v>186</v>
      </c>
      <c r="D145" s="109"/>
      <c r="E145" s="110"/>
      <c r="F145" s="105">
        <f t="shared" si="1"/>
        <v>10384</v>
      </c>
    </row>
    <row r="146" spans="1:6" s="33" customFormat="1" ht="15.75">
      <c r="A146" s="93"/>
      <c r="B146" s="92">
        <v>43061</v>
      </c>
      <c r="C146" s="108" t="s">
        <v>186</v>
      </c>
      <c r="D146" s="109"/>
      <c r="E146" s="110"/>
      <c r="F146" s="105">
        <f t="shared" si="1"/>
        <v>10384</v>
      </c>
    </row>
    <row r="147" spans="1:6" s="33" customFormat="1" ht="15.75">
      <c r="A147" s="93"/>
      <c r="B147" s="92">
        <v>43083</v>
      </c>
      <c r="C147" s="108" t="s">
        <v>186</v>
      </c>
      <c r="D147" s="109"/>
      <c r="E147" s="110"/>
      <c r="F147" s="105">
        <f t="shared" si="1"/>
        <v>10384</v>
      </c>
    </row>
    <row r="148" spans="1:6" s="33" customFormat="1" ht="15.75">
      <c r="A148" s="93"/>
      <c r="B148" s="92">
        <v>42755</v>
      </c>
      <c r="C148" s="108" t="s">
        <v>192</v>
      </c>
      <c r="D148" s="109"/>
      <c r="E148" s="110"/>
      <c r="F148" s="104">
        <v>950</v>
      </c>
    </row>
    <row r="149" spans="1:6" s="33" customFormat="1" ht="15.75">
      <c r="A149" s="93"/>
      <c r="B149" s="92">
        <v>42786</v>
      </c>
      <c r="C149" s="108" t="s">
        <v>192</v>
      </c>
      <c r="D149" s="109"/>
      <c r="E149" s="110"/>
      <c r="F149" s="104">
        <v>800</v>
      </c>
    </row>
    <row r="150" spans="1:6" s="33" customFormat="1" ht="15.75">
      <c r="A150" s="93"/>
      <c r="B150" s="92">
        <v>42814</v>
      </c>
      <c r="C150" s="108" t="s">
        <v>192</v>
      </c>
      <c r="D150" s="109"/>
      <c r="E150" s="110"/>
      <c r="F150" s="104">
        <v>800</v>
      </c>
    </row>
    <row r="151" spans="1:6" s="33" customFormat="1" ht="15.75">
      <c r="A151" s="93"/>
      <c r="B151" s="92">
        <v>42845</v>
      </c>
      <c r="C151" s="108" t="s">
        <v>192</v>
      </c>
      <c r="D151" s="109"/>
      <c r="E151" s="110"/>
      <c r="F151" s="104">
        <v>800</v>
      </c>
    </row>
    <row r="152" spans="1:6" s="33" customFormat="1" ht="15.75">
      <c r="A152" s="93"/>
      <c r="B152" s="92">
        <v>42877</v>
      </c>
      <c r="C152" s="108" t="s">
        <v>192</v>
      </c>
      <c r="D152" s="109"/>
      <c r="E152" s="110"/>
      <c r="F152" s="104">
        <v>800</v>
      </c>
    </row>
    <row r="153" spans="1:6" s="33" customFormat="1" ht="15.75">
      <c r="A153" s="93"/>
      <c r="B153" s="92">
        <v>42906</v>
      </c>
      <c r="C153" s="108" t="s">
        <v>192</v>
      </c>
      <c r="D153" s="109"/>
      <c r="E153" s="110"/>
      <c r="F153" s="104">
        <v>800</v>
      </c>
    </row>
    <row r="154" spans="1:6" s="33" customFormat="1" ht="15.75">
      <c r="A154" s="93"/>
      <c r="B154" s="92">
        <v>42936</v>
      </c>
      <c r="C154" s="108" t="s">
        <v>192</v>
      </c>
      <c r="D154" s="109"/>
      <c r="E154" s="110"/>
      <c r="F154" s="104">
        <v>800</v>
      </c>
    </row>
    <row r="155" spans="1:6" s="33" customFormat="1" ht="15.75">
      <c r="A155" s="93"/>
      <c r="B155" s="92">
        <v>42968</v>
      </c>
      <c r="C155" s="108" t="s">
        <v>192</v>
      </c>
      <c r="D155" s="109"/>
      <c r="E155" s="110"/>
      <c r="F155" s="104">
        <v>800</v>
      </c>
    </row>
    <row r="156" spans="1:6" s="33" customFormat="1" ht="15.75">
      <c r="A156" s="93"/>
      <c r="B156" s="92">
        <v>42998</v>
      </c>
      <c r="C156" s="108" t="s">
        <v>192</v>
      </c>
      <c r="D156" s="109"/>
      <c r="E156" s="110"/>
      <c r="F156" s="104">
        <v>800</v>
      </c>
    </row>
    <row r="157" spans="1:6" s="33" customFormat="1" ht="15.75">
      <c r="A157" s="93"/>
      <c r="B157" s="92">
        <v>43033</v>
      </c>
      <c r="C157" s="108" t="s">
        <v>192</v>
      </c>
      <c r="D157" s="109"/>
      <c r="E157" s="110"/>
      <c r="F157" s="104">
        <v>800</v>
      </c>
    </row>
    <row r="158" spans="1:6" s="33" customFormat="1" ht="15.75">
      <c r="A158" s="93"/>
      <c r="B158" s="92">
        <v>43059</v>
      </c>
      <c r="C158" s="108" t="s">
        <v>192</v>
      </c>
      <c r="D158" s="109"/>
      <c r="E158" s="110"/>
      <c r="F158" s="104">
        <v>800</v>
      </c>
    </row>
    <row r="159" spans="1:6" s="33" customFormat="1" ht="15.75">
      <c r="A159" s="93"/>
      <c r="B159" s="92">
        <v>43089</v>
      </c>
      <c r="C159" s="108" t="s">
        <v>192</v>
      </c>
      <c r="D159" s="109"/>
      <c r="E159" s="110"/>
      <c r="F159" s="104">
        <v>800</v>
      </c>
    </row>
    <row r="160" spans="1:6" s="33" customFormat="1" ht="15.75">
      <c r="A160" s="93"/>
      <c r="B160" s="92">
        <v>42753</v>
      </c>
      <c r="C160" s="108" t="s">
        <v>193</v>
      </c>
      <c r="D160" s="109"/>
      <c r="E160" s="110"/>
      <c r="F160" s="103">
        <v>6027</v>
      </c>
    </row>
    <row r="161" spans="1:6" s="33" customFormat="1" ht="15.75">
      <c r="A161" s="93"/>
      <c r="B161" s="92">
        <v>43051</v>
      </c>
      <c r="C161" s="112" t="s">
        <v>201</v>
      </c>
      <c r="D161" s="113"/>
      <c r="E161" s="114"/>
      <c r="F161" s="103">
        <v>550</v>
      </c>
    </row>
    <row r="162" spans="1:6" s="33" customFormat="1" ht="15.75">
      <c r="A162" s="93"/>
      <c r="B162" s="92">
        <v>43073</v>
      </c>
      <c r="C162" s="112" t="s">
        <v>202</v>
      </c>
      <c r="D162" s="113"/>
      <c r="E162" s="114"/>
      <c r="F162" s="103">
        <v>1100</v>
      </c>
    </row>
    <row r="163" spans="1:6" s="33" customFormat="1" ht="33" customHeight="1">
      <c r="A163" s="93"/>
      <c r="B163" s="92">
        <v>43080</v>
      </c>
      <c r="C163" s="112" t="s">
        <v>203</v>
      </c>
      <c r="D163" s="113"/>
      <c r="E163" s="114"/>
      <c r="F163" s="103">
        <v>5500</v>
      </c>
    </row>
    <row r="164" spans="1:6" s="33" customFormat="1" ht="29.25" customHeight="1">
      <c r="A164" s="93"/>
      <c r="B164" s="92">
        <v>42780</v>
      </c>
      <c r="C164" s="112" t="s">
        <v>194</v>
      </c>
      <c r="D164" s="113"/>
      <c r="E164" s="114"/>
      <c r="F164" s="106">
        <v>2500</v>
      </c>
    </row>
    <row r="165" spans="1:6" s="33" customFormat="1" ht="15.75">
      <c r="A165" s="93"/>
      <c r="B165" s="92">
        <v>42846</v>
      </c>
      <c r="C165" s="112" t="s">
        <v>195</v>
      </c>
      <c r="D165" s="113"/>
      <c r="E165" s="114"/>
      <c r="F165" s="106">
        <v>14739</v>
      </c>
    </row>
    <row r="166" spans="1:6" s="33" customFormat="1" ht="15.75">
      <c r="A166" s="93"/>
      <c r="B166" s="92">
        <v>43034</v>
      </c>
      <c r="C166" s="112" t="s">
        <v>196</v>
      </c>
      <c r="D166" s="113"/>
      <c r="E166" s="114"/>
      <c r="F166" s="106">
        <v>10008</v>
      </c>
    </row>
    <row r="167" spans="1:6" s="33" customFormat="1" ht="15.75">
      <c r="A167" s="93"/>
      <c r="B167" s="92">
        <v>43028</v>
      </c>
      <c r="C167" s="112" t="s">
        <v>197</v>
      </c>
      <c r="D167" s="113"/>
      <c r="E167" s="114"/>
      <c r="F167" s="106">
        <v>2500</v>
      </c>
    </row>
    <row r="168" spans="1:6" s="33" customFormat="1" ht="15.75">
      <c r="A168" s="93"/>
      <c r="B168" s="92">
        <v>43041</v>
      </c>
      <c r="C168" s="108" t="s">
        <v>196</v>
      </c>
      <c r="D168" s="109"/>
      <c r="E168" s="110"/>
      <c r="F168" s="106">
        <v>9684</v>
      </c>
    </row>
    <row r="169" spans="1:6" s="33" customFormat="1" ht="15.75">
      <c r="A169" s="93"/>
      <c r="B169" s="92">
        <v>42947</v>
      </c>
      <c r="C169" s="112" t="s">
        <v>198</v>
      </c>
      <c r="D169" s="113"/>
      <c r="E169" s="114"/>
      <c r="F169" s="93">
        <v>52660.8</v>
      </c>
    </row>
    <row r="170" spans="1:6" s="33" customFormat="1" ht="15.75">
      <c r="A170" s="93"/>
      <c r="B170" s="92">
        <v>42971</v>
      </c>
      <c r="C170" s="112" t="s">
        <v>199</v>
      </c>
      <c r="D170" s="113"/>
      <c r="E170" s="114"/>
      <c r="F170" s="93">
        <v>5000</v>
      </c>
    </row>
    <row r="171" spans="1:6" s="33" customFormat="1" ht="15.75">
      <c r="A171" s="93"/>
      <c r="B171" s="92">
        <v>43038</v>
      </c>
      <c r="C171" s="108" t="s">
        <v>200</v>
      </c>
      <c r="D171" s="109"/>
      <c r="E171" s="110"/>
      <c r="F171" s="93">
        <v>1500</v>
      </c>
    </row>
    <row r="172" spans="1:6" s="33" customFormat="1" ht="15.75">
      <c r="A172" s="93"/>
      <c r="B172" s="92">
        <v>42948</v>
      </c>
      <c r="C172" s="112" t="s">
        <v>70</v>
      </c>
      <c r="D172" s="113"/>
      <c r="E172" s="114"/>
      <c r="F172" s="93">
        <v>757.61</v>
      </c>
    </row>
    <row r="173" spans="1:6" s="33" customFormat="1" ht="15.75">
      <c r="A173" s="93"/>
      <c r="B173" s="92">
        <v>43055</v>
      </c>
      <c r="C173" s="108" t="s">
        <v>204</v>
      </c>
      <c r="D173" s="109"/>
      <c r="E173" s="110"/>
      <c r="F173" s="93">
        <v>3605.84</v>
      </c>
    </row>
    <row r="174" spans="1:6" s="33" customFormat="1" ht="15.75">
      <c r="A174" s="93"/>
      <c r="B174" s="92"/>
      <c r="C174" s="108" t="s">
        <v>210</v>
      </c>
      <c r="D174" s="109"/>
      <c r="E174" s="110"/>
      <c r="F174" s="93">
        <f>400+3785</f>
        <v>4185</v>
      </c>
    </row>
    <row r="175" spans="1:6" s="33" customFormat="1" ht="15.75">
      <c r="A175" s="93"/>
      <c r="B175" s="92"/>
      <c r="C175" s="96"/>
      <c r="D175" s="97"/>
      <c r="E175" s="98"/>
      <c r="F175" s="93"/>
    </row>
    <row r="176" spans="1:6" s="33" customFormat="1" ht="15.75">
      <c r="A176" s="93"/>
      <c r="B176" s="92"/>
      <c r="C176" s="96"/>
      <c r="D176" s="97"/>
      <c r="E176" s="98"/>
      <c r="F176" s="93"/>
    </row>
    <row r="177" spans="1:6" s="33" customFormat="1" ht="15.75">
      <c r="A177" s="93"/>
      <c r="B177" s="92"/>
      <c r="C177" s="96"/>
      <c r="D177" s="97"/>
      <c r="E177" s="98"/>
      <c r="F177" s="93"/>
    </row>
    <row r="178" spans="1:6" s="67" customFormat="1" ht="30" customHeight="1">
      <c r="A178" s="93"/>
      <c r="B178" s="92"/>
      <c r="C178" s="96"/>
      <c r="D178" s="97"/>
      <c r="E178" s="98"/>
      <c r="F178" s="93"/>
    </row>
    <row r="179" spans="1:6" s="33" customFormat="1" ht="15.75">
      <c r="A179" s="115" t="s">
        <v>28</v>
      </c>
      <c r="B179" s="115"/>
      <c r="C179" s="115"/>
      <c r="D179" s="115"/>
      <c r="E179" s="115"/>
      <c r="F179" s="99">
        <f>SUM(F59:F178)</f>
        <v>426712.89</v>
      </c>
    </row>
    <row r="180" spans="1:6" s="33" customFormat="1" ht="15">
      <c r="A180" s="100"/>
      <c r="B180" s="101"/>
      <c r="C180" s="111"/>
      <c r="D180" s="111"/>
      <c r="E180" s="111"/>
      <c r="F180" s="100"/>
    </row>
    <row r="181" spans="1:6" s="33" customFormat="1" ht="15">
      <c r="A181" s="100"/>
      <c r="B181" s="101"/>
      <c r="C181" s="111"/>
      <c r="D181" s="111"/>
      <c r="E181" s="111"/>
      <c r="F181" s="100"/>
    </row>
    <row r="182" spans="1:6" s="33" customFormat="1" ht="15">
      <c r="A182" s="100"/>
      <c r="B182" s="101"/>
      <c r="C182" s="111"/>
      <c r="D182" s="111"/>
      <c r="E182" s="111"/>
      <c r="F182" s="100"/>
    </row>
  </sheetData>
  <sheetProtection/>
  <mergeCells count="148">
    <mergeCell ref="C173:E173"/>
    <mergeCell ref="C133:E133"/>
    <mergeCell ref="B44:E44"/>
    <mergeCell ref="B45:E45"/>
    <mergeCell ref="C161:E161"/>
    <mergeCell ref="C162:E162"/>
    <mergeCell ref="C163:E163"/>
    <mergeCell ref="C171:E171"/>
    <mergeCell ref="C170:E170"/>
    <mergeCell ref="C172:E172"/>
    <mergeCell ref="C155:E155"/>
    <mergeCell ref="C156:E156"/>
    <mergeCell ref="C157:E157"/>
    <mergeCell ref="C158:E158"/>
    <mergeCell ref="C169:E169"/>
    <mergeCell ref="C164:E164"/>
    <mergeCell ref="C165:E165"/>
    <mergeCell ref="C166:E166"/>
    <mergeCell ref="C167:E167"/>
    <mergeCell ref="C168:E168"/>
    <mergeCell ref="A1:F1"/>
    <mergeCell ref="A2:F2"/>
    <mergeCell ref="A24:F24"/>
    <mergeCell ref="B26:E26"/>
    <mergeCell ref="B27:E27"/>
    <mergeCell ref="B28:E28"/>
    <mergeCell ref="B34:E34"/>
    <mergeCell ref="B35:E35"/>
    <mergeCell ref="B36:E36"/>
    <mergeCell ref="M28:O28"/>
    <mergeCell ref="B29:E29"/>
    <mergeCell ref="B30:E30"/>
    <mergeCell ref="B31:E31"/>
    <mergeCell ref="B32:E32"/>
    <mergeCell ref="B33:E33"/>
    <mergeCell ref="B37:E37"/>
    <mergeCell ref="B38:E38"/>
    <mergeCell ref="B39:E39"/>
    <mergeCell ref="B40:E40"/>
    <mergeCell ref="B41:E41"/>
    <mergeCell ref="B42:E42"/>
    <mergeCell ref="B43:E43"/>
    <mergeCell ref="B51:E51"/>
    <mergeCell ref="A53:E53"/>
    <mergeCell ref="B46:E46"/>
    <mergeCell ref="B47:E47"/>
    <mergeCell ref="B48:E48"/>
    <mergeCell ref="B49:E49"/>
    <mergeCell ref="B50:E50"/>
    <mergeCell ref="A54:E54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78:E78"/>
    <mergeCell ref="C79:E79"/>
    <mergeCell ref="C80:E80"/>
    <mergeCell ref="C81:E81"/>
    <mergeCell ref="C82:E82"/>
    <mergeCell ref="C83:E83"/>
    <mergeCell ref="C84:E84"/>
    <mergeCell ref="C85:E85"/>
    <mergeCell ref="C86:E86"/>
    <mergeCell ref="C87:E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98:E98"/>
    <mergeCell ref="C99:E99"/>
    <mergeCell ref="C100:E100"/>
    <mergeCell ref="C101:E101"/>
    <mergeCell ref="C102:E102"/>
    <mergeCell ref="C103:E103"/>
    <mergeCell ref="C104:E104"/>
    <mergeCell ref="C105:E105"/>
    <mergeCell ref="C106:E106"/>
    <mergeCell ref="C107:E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18:E118"/>
    <mergeCell ref="C119:E119"/>
    <mergeCell ref="C120:E120"/>
    <mergeCell ref="C121:E121"/>
    <mergeCell ref="A179:E179"/>
    <mergeCell ref="C140:E140"/>
    <mergeCell ref="C141:E141"/>
    <mergeCell ref="C142:E142"/>
    <mergeCell ref="C143:E143"/>
    <mergeCell ref="C180:E180"/>
    <mergeCell ref="C127:E127"/>
    <mergeCell ref="C181:E181"/>
    <mergeCell ref="C182:E182"/>
    <mergeCell ref="C134:E134"/>
    <mergeCell ref="C135:E135"/>
    <mergeCell ref="C136:E136"/>
    <mergeCell ref="C137:E137"/>
    <mergeCell ref="C138:E138"/>
    <mergeCell ref="C139:E139"/>
    <mergeCell ref="C144:E144"/>
    <mergeCell ref="C145:E145"/>
    <mergeCell ref="C146:E146"/>
    <mergeCell ref="C147:E147"/>
    <mergeCell ref="C128:E128"/>
    <mergeCell ref="C129:E129"/>
    <mergeCell ref="C130:E130"/>
    <mergeCell ref="C131:E131"/>
    <mergeCell ref="C132:E132"/>
    <mergeCell ref="C148:E148"/>
    <mergeCell ref="C149:E149"/>
    <mergeCell ref="C150:E150"/>
    <mergeCell ref="C151:E151"/>
    <mergeCell ref="C152:E152"/>
    <mergeCell ref="C174:E174"/>
    <mergeCell ref="C159:E159"/>
    <mergeCell ref="C160:E160"/>
    <mergeCell ref="C153:E153"/>
    <mergeCell ref="C154:E15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O153"/>
  <sheetViews>
    <sheetView view="pageBreakPreview" zoomScaleSheetLayoutView="100" zoomScalePageLayoutView="0" workbookViewId="0" topLeftCell="A6">
      <selection activeCell="F11" sqref="F11:F17"/>
    </sheetView>
  </sheetViews>
  <sheetFormatPr defaultColWidth="9.140625" defaultRowHeight="12.75" outlineLevelRow="1"/>
  <cols>
    <col min="1" max="1" width="4.421875" style="8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1.7109375" style="5" customWidth="1"/>
    <col min="8" max="8" width="11.57421875" style="5" customWidth="1"/>
    <col min="9" max="9" width="11.421875" style="5" customWidth="1"/>
    <col min="10" max="10" width="15.7109375" style="5" customWidth="1"/>
    <col min="11" max="11" width="15.8515625" style="5" customWidth="1"/>
    <col min="12" max="12" width="16.57421875" style="5" customWidth="1"/>
    <col min="13" max="16384" width="9.140625" style="5" customWidth="1"/>
  </cols>
  <sheetData>
    <row r="1" spans="1:7" ht="15.75">
      <c r="A1" s="126" t="s">
        <v>88</v>
      </c>
      <c r="B1" s="126"/>
      <c r="C1" s="126"/>
      <c r="D1" s="126"/>
      <c r="E1" s="126"/>
      <c r="F1" s="126"/>
      <c r="G1" s="59"/>
    </row>
    <row r="2" spans="1:8" ht="16.5" customHeight="1">
      <c r="A2" s="126" t="s">
        <v>38</v>
      </c>
      <c r="B2" s="126"/>
      <c r="C2" s="126"/>
      <c r="D2" s="126"/>
      <c r="E2" s="126"/>
      <c r="F2" s="126"/>
      <c r="G2" s="6"/>
      <c r="H2" s="7"/>
    </row>
    <row r="3" ht="16.5" customHeight="1"/>
    <row r="4" spans="1:6" ht="16.5" customHeight="1" hidden="1" outlineLevel="1">
      <c r="A4" s="50" t="s">
        <v>79</v>
      </c>
      <c r="C4" s="9"/>
      <c r="D4" s="9"/>
      <c r="E4" s="9"/>
      <c r="F4" s="9"/>
    </row>
    <row r="5" spans="1:6" ht="16.5" customHeight="1" hidden="1" outlineLevel="1">
      <c r="A5" s="9" t="s">
        <v>11</v>
      </c>
      <c r="C5" s="9"/>
      <c r="D5" s="9">
        <v>7173.4</v>
      </c>
      <c r="E5" s="9" t="s">
        <v>12</v>
      </c>
      <c r="F5" s="9"/>
    </row>
    <row r="6" ht="16.5" customHeight="1" collapsed="1">
      <c r="I6" s="29"/>
    </row>
    <row r="7" spans="1:6" ht="16.5" customHeight="1">
      <c r="A7" s="6" t="s">
        <v>90</v>
      </c>
      <c r="C7" s="6"/>
      <c r="D7" s="10">
        <f>'2015 НЬЮ (2)'!F41</f>
        <v>180910.28400000022</v>
      </c>
      <c r="E7" s="6" t="s">
        <v>78</v>
      </c>
      <c r="F7" s="6" t="s">
        <v>137</v>
      </c>
    </row>
    <row r="8" spans="1:6" ht="16.5" customHeight="1">
      <c r="A8" s="6" t="s">
        <v>89</v>
      </c>
      <c r="C8" s="9"/>
      <c r="D8" s="11">
        <f>C18</f>
        <v>-199057.27000000016</v>
      </c>
      <c r="E8" s="9" t="s">
        <v>78</v>
      </c>
      <c r="F8" s="9"/>
    </row>
    <row r="9" spans="2:12" ht="16.5" customHeight="1">
      <c r="B9" s="9"/>
      <c r="C9" s="9"/>
      <c r="D9" s="9"/>
      <c r="E9" s="9"/>
      <c r="F9" s="12" t="s">
        <v>13</v>
      </c>
      <c r="J9" s="62"/>
      <c r="K9" s="63"/>
      <c r="L9" s="57"/>
    </row>
    <row r="10" spans="1:12" s="8" customFormat="1" ht="28.5" customHeight="1">
      <c r="A10" s="60" t="s">
        <v>14</v>
      </c>
      <c r="B10" s="13" t="s">
        <v>15</v>
      </c>
      <c r="C10" s="14" t="s">
        <v>91</v>
      </c>
      <c r="D10" s="14" t="s">
        <v>0</v>
      </c>
      <c r="E10" s="14" t="s">
        <v>16</v>
      </c>
      <c r="F10" s="14" t="s">
        <v>92</v>
      </c>
      <c r="J10" s="62" t="s">
        <v>97</v>
      </c>
      <c r="K10" s="62"/>
      <c r="L10" s="57"/>
    </row>
    <row r="11" spans="1:12" s="17" customFormat="1" ht="30" customHeight="1">
      <c r="A11" s="60">
        <v>1</v>
      </c>
      <c r="B11" s="15" t="s">
        <v>1</v>
      </c>
      <c r="C11" s="30">
        <f>'2015 НЬЮ (2)'!F11</f>
        <v>-113271.04000000015</v>
      </c>
      <c r="D11" s="30">
        <f>777147.47-270.9-1964.35</f>
        <v>774912.22</v>
      </c>
      <c r="E11" s="30">
        <v>757031.18</v>
      </c>
      <c r="F11" s="30">
        <f aca="true" t="shared" si="0" ref="F11:F17">C11-D11+E11</f>
        <v>-131152.08000000007</v>
      </c>
      <c r="G11" s="5" t="s">
        <v>32</v>
      </c>
      <c r="H11" s="5">
        <v>9.21</v>
      </c>
      <c r="I11" s="29">
        <f>H11*10*H23</f>
        <v>660670.14</v>
      </c>
      <c r="J11" s="62">
        <v>21028.09</v>
      </c>
      <c r="K11" s="62"/>
      <c r="L11" s="57"/>
    </row>
    <row r="12" spans="1:12" s="17" customFormat="1" ht="15.75">
      <c r="A12" s="60">
        <v>2</v>
      </c>
      <c r="B12" s="15" t="s">
        <v>2</v>
      </c>
      <c r="C12" s="30">
        <f>'2015 НЬЮ (2)'!F12</f>
        <v>-24585.89</v>
      </c>
      <c r="D12" s="30">
        <f>168682.68-58.8-105.45</f>
        <v>168518.43</v>
      </c>
      <c r="E12" s="30">
        <v>164364.82</v>
      </c>
      <c r="F12" s="30">
        <f t="shared" si="0"/>
        <v>-28739.5</v>
      </c>
      <c r="G12" s="9" t="s">
        <v>33</v>
      </c>
      <c r="H12" s="5">
        <v>2.92</v>
      </c>
      <c r="I12" s="28">
        <f>H12*12*H23</f>
        <v>251355.936</v>
      </c>
      <c r="J12" s="62">
        <v>4564.25</v>
      </c>
      <c r="K12" s="62"/>
      <c r="L12" s="57"/>
    </row>
    <row r="13" spans="1:12" s="17" customFormat="1" ht="29.25" customHeight="1">
      <c r="A13" s="60">
        <v>3</v>
      </c>
      <c r="B13" s="15" t="s">
        <v>72</v>
      </c>
      <c r="C13" s="30">
        <f>'2015 НЬЮ (2)'!F13</f>
        <v>-20415.199999999997</v>
      </c>
      <c r="D13" s="30">
        <f>132687-1686.32-105.99</f>
        <v>130894.68999999999</v>
      </c>
      <c r="E13" s="30">
        <v>129271.91</v>
      </c>
      <c r="F13" s="30">
        <f t="shared" si="0"/>
        <v>-22037.97999999998</v>
      </c>
      <c r="G13" s="9" t="s">
        <v>37</v>
      </c>
      <c r="H13" s="5">
        <v>2.04</v>
      </c>
      <c r="I13" s="28">
        <f>H13*12*H23</f>
        <v>175604.832</v>
      </c>
      <c r="J13" s="62">
        <v>3960.48</v>
      </c>
      <c r="K13" s="62"/>
      <c r="L13" s="57"/>
    </row>
    <row r="14" spans="1:12" s="17" customFormat="1" ht="15.75">
      <c r="A14" s="60">
        <v>4</v>
      </c>
      <c r="B14" s="15" t="s">
        <v>73</v>
      </c>
      <c r="C14" s="30">
        <f>'2015 НЬЮ (2)'!F14</f>
        <v>-22665.22</v>
      </c>
      <c r="D14" s="30">
        <f>151731.31-1532.24+1382.24</f>
        <v>151581.31</v>
      </c>
      <c r="E14" s="30">
        <v>148332.63</v>
      </c>
      <c r="F14" s="30">
        <f t="shared" si="0"/>
        <v>-25913.899999999994</v>
      </c>
      <c r="G14" s="16" t="s">
        <v>98</v>
      </c>
      <c r="H14" s="16">
        <v>1.79</v>
      </c>
      <c r="I14" s="17">
        <f>H14*12*H23</f>
        <v>154084.63199999998</v>
      </c>
      <c r="J14" s="62">
        <v>4168.57</v>
      </c>
      <c r="K14" s="62"/>
      <c r="L14" s="57"/>
    </row>
    <row r="15" spans="1:12" s="17" customFormat="1" ht="30" customHeight="1">
      <c r="A15" s="60">
        <v>5</v>
      </c>
      <c r="B15" s="15" t="s">
        <v>35</v>
      </c>
      <c r="C15" s="30">
        <f>'2015 НЬЮ (2)'!F15</f>
        <v>-15464.059999999998</v>
      </c>
      <c r="D15" s="30">
        <f>134351.01-38.4+6.68-102</f>
        <v>134217.29</v>
      </c>
      <c r="E15" s="30">
        <v>124926.88</v>
      </c>
      <c r="F15" s="30">
        <f t="shared" si="0"/>
        <v>-24754.47</v>
      </c>
      <c r="G15" s="16"/>
      <c r="H15" s="16"/>
      <c r="J15" s="64">
        <v>2380.49</v>
      </c>
      <c r="K15" s="64"/>
      <c r="L15" s="57"/>
    </row>
    <row r="16" spans="1:12" s="17" customFormat="1" ht="30" customHeight="1">
      <c r="A16" s="60">
        <v>6</v>
      </c>
      <c r="B16" s="15" t="s">
        <v>74</v>
      </c>
      <c r="C16" s="30">
        <f>'2015 НЬЮ (2)'!F16</f>
        <v>-2655.8599999999988</v>
      </c>
      <c r="D16" s="30">
        <f>22375.92-7.8-13.99</f>
        <v>22354.129999999997</v>
      </c>
      <c r="E16" s="30">
        <v>21838.41</v>
      </c>
      <c r="F16" s="30">
        <f t="shared" si="0"/>
        <v>-3171.579999999998</v>
      </c>
      <c r="G16" s="16"/>
      <c r="H16" s="16"/>
      <c r="J16" s="9"/>
      <c r="K16" s="9"/>
      <c r="L16" s="9"/>
    </row>
    <row r="17" spans="1:12" s="17" customFormat="1" ht="30" customHeight="1">
      <c r="A17" s="60">
        <v>7</v>
      </c>
      <c r="B17" s="15" t="s">
        <v>96</v>
      </c>
      <c r="C17" s="30">
        <f>'2015 НЬЮ (2)'!F17</f>
        <v>-346.75</v>
      </c>
      <c r="D17" s="30">
        <f>1099.1+2157.6</f>
        <v>3256.7</v>
      </c>
      <c r="E17" s="30">
        <v>3603.45</v>
      </c>
      <c r="F17" s="30">
        <f t="shared" si="0"/>
        <v>0</v>
      </c>
      <c r="G17" s="16"/>
      <c r="H17" s="16"/>
      <c r="J17" s="5"/>
      <c r="K17" s="5"/>
      <c r="L17" s="5"/>
    </row>
    <row r="18" spans="1:8" s="47" customFormat="1" ht="21" customHeight="1">
      <c r="A18" s="61"/>
      <c r="B18" s="18" t="s">
        <v>3</v>
      </c>
      <c r="C18" s="45">
        <f>SUM(C11:C16)</f>
        <v>-199057.27000000016</v>
      </c>
      <c r="D18" s="45">
        <f>SUM(D11:D17)</f>
        <v>1385734.7699999998</v>
      </c>
      <c r="E18" s="45">
        <f>SUM(E11:E17)</f>
        <v>1349369.2799999998</v>
      </c>
      <c r="F18" s="45">
        <f>SUM(F11:F17)</f>
        <v>-235769.51000000004</v>
      </c>
      <c r="G18" s="46"/>
      <c r="H18" s="46"/>
    </row>
    <row r="19" ht="10.5" customHeight="1"/>
    <row r="20" spans="1:12" ht="11.25" customHeight="1">
      <c r="A20" s="126" t="s">
        <v>17</v>
      </c>
      <c r="B20" s="126"/>
      <c r="C20" s="126"/>
      <c r="D20" s="126"/>
      <c r="E20" s="126"/>
      <c r="F20" s="126"/>
      <c r="L20" s="57"/>
    </row>
    <row r="21" spans="1:6" ht="6.75" customHeight="1">
      <c r="A21" s="59"/>
      <c r="B21" s="59"/>
      <c r="C21" s="59"/>
      <c r="D21" s="59"/>
      <c r="E21" s="59"/>
      <c r="F21" s="59"/>
    </row>
    <row r="22" spans="1:8" ht="31.5">
      <c r="A22" s="14" t="s">
        <v>31</v>
      </c>
      <c r="B22" s="127" t="s">
        <v>4</v>
      </c>
      <c r="C22" s="127"/>
      <c r="D22" s="127"/>
      <c r="E22" s="127"/>
      <c r="F22" s="18" t="s">
        <v>10</v>
      </c>
      <c r="H22" s="5" t="s">
        <v>18</v>
      </c>
    </row>
    <row r="23" spans="1:8" ht="15.75">
      <c r="A23" s="71">
        <v>1</v>
      </c>
      <c r="B23" s="132" t="s">
        <v>5</v>
      </c>
      <c r="C23" s="132"/>
      <c r="D23" s="132"/>
      <c r="E23" s="132"/>
      <c r="F23" s="72">
        <f>I12</f>
        <v>251355.936</v>
      </c>
      <c r="G23" s="19"/>
      <c r="H23" s="5">
        <f>D5</f>
        <v>7173.4</v>
      </c>
    </row>
    <row r="24" spans="1:15" ht="18" customHeight="1">
      <c r="A24" s="73">
        <v>2</v>
      </c>
      <c r="B24" s="128" t="s">
        <v>34</v>
      </c>
      <c r="C24" s="128"/>
      <c r="D24" s="128"/>
      <c r="E24" s="128"/>
      <c r="F24" s="74">
        <f>0.21*6*H23+0.22*6*H23</f>
        <v>18507.372000000003</v>
      </c>
      <c r="G24" s="9"/>
      <c r="H24" s="5" t="s">
        <v>19</v>
      </c>
      <c r="I24" s="5" t="s">
        <v>20</v>
      </c>
      <c r="J24" s="5" t="s">
        <v>21</v>
      </c>
      <c r="M24" s="125" t="s">
        <v>72</v>
      </c>
      <c r="N24" s="125"/>
      <c r="O24" s="125"/>
    </row>
    <row r="25" spans="1:15" ht="18" customHeight="1">
      <c r="A25" s="73">
        <v>3</v>
      </c>
      <c r="B25" s="128" t="s">
        <v>75</v>
      </c>
      <c r="C25" s="128"/>
      <c r="D25" s="128"/>
      <c r="E25" s="128"/>
      <c r="F25" s="74">
        <f>J26</f>
        <v>130440</v>
      </c>
      <c r="G25" s="9"/>
      <c r="I25" s="5">
        <v>8967</v>
      </c>
      <c r="J25" s="5">
        <v>10870</v>
      </c>
      <c r="M25" s="13" t="s">
        <v>80</v>
      </c>
      <c r="N25" s="13" t="s">
        <v>81</v>
      </c>
      <c r="O25" s="13" t="s">
        <v>82</v>
      </c>
    </row>
    <row r="26" spans="1:15" ht="18" customHeight="1">
      <c r="A26" s="73">
        <v>4</v>
      </c>
      <c r="B26" s="128" t="s">
        <v>22</v>
      </c>
      <c r="C26" s="128"/>
      <c r="D26" s="128"/>
      <c r="E26" s="128"/>
      <c r="F26" s="74">
        <f>I13</f>
        <v>175604.832</v>
      </c>
      <c r="G26" s="70"/>
      <c r="H26" s="9"/>
      <c r="I26" s="5">
        <f>I25*12</f>
        <v>107604</v>
      </c>
      <c r="J26" s="5">
        <f>J25*12</f>
        <v>130440</v>
      </c>
      <c r="M26" s="13">
        <v>6580</v>
      </c>
      <c r="N26" s="13">
        <f>200*4</f>
        <v>800</v>
      </c>
      <c r="O26" s="13" t="s">
        <v>83</v>
      </c>
    </row>
    <row r="27" spans="1:15" ht="18" customHeight="1">
      <c r="A27" s="73">
        <v>5</v>
      </c>
      <c r="B27" s="129" t="s">
        <v>138</v>
      </c>
      <c r="C27" s="130"/>
      <c r="D27" s="130"/>
      <c r="E27" s="131"/>
      <c r="F27" s="74">
        <f>F59+F67</f>
        <v>20438</v>
      </c>
      <c r="G27" s="70"/>
      <c r="H27" s="9"/>
      <c r="M27" s="13"/>
      <c r="N27" s="13"/>
      <c r="O27" s="13"/>
    </row>
    <row r="28" spans="1:15" ht="18" customHeight="1">
      <c r="A28" s="73">
        <v>6</v>
      </c>
      <c r="B28" s="128" t="s">
        <v>6</v>
      </c>
      <c r="C28" s="128"/>
      <c r="D28" s="128"/>
      <c r="E28" s="128"/>
      <c r="F28" s="74">
        <f>F29+F30+F31+F32+F33+F34</f>
        <v>217118</v>
      </c>
      <c r="G28" s="11">
        <f>F153</f>
        <v>260471</v>
      </c>
      <c r="M28" s="13">
        <f>2000*4</f>
        <v>8000</v>
      </c>
      <c r="N28" s="13">
        <f>200*4</f>
        <v>800</v>
      </c>
      <c r="O28" s="13" t="s">
        <v>84</v>
      </c>
    </row>
    <row r="29" spans="1:15" ht="16.5" customHeight="1">
      <c r="A29" s="73" t="s">
        <v>7</v>
      </c>
      <c r="B29" s="128" t="s">
        <v>23</v>
      </c>
      <c r="C29" s="128"/>
      <c r="D29" s="128"/>
      <c r="E29" s="128"/>
      <c r="F29" s="74">
        <f>F55+F57+F58+F61+F62+F68+F69+F72+F73+F74+F75+F76+F77+F81+F82+F83+F85+F86+F88+F90+F92+F93+F94+F95+F96+F97+F98+F99+F100+F101+F105+F107+F110+F109+F111+F112+F115+F116+F120+F121+F122+F123+F126+F127+F128+F131+F132+F134+F137+F139+F138</f>
        <v>60655</v>
      </c>
      <c r="G29" s="9"/>
      <c r="M29" s="13">
        <f>2000*4</f>
        <v>8000</v>
      </c>
      <c r="N29" s="13">
        <f>200*4</f>
        <v>800</v>
      </c>
      <c r="O29" s="13" t="s">
        <v>86</v>
      </c>
    </row>
    <row r="30" spans="1:15" ht="16.5" customHeight="1">
      <c r="A30" s="73" t="s">
        <v>7</v>
      </c>
      <c r="B30" s="128" t="s">
        <v>24</v>
      </c>
      <c r="C30" s="128"/>
      <c r="D30" s="128"/>
      <c r="E30" s="128"/>
      <c r="F30" s="74">
        <f>F49+F50+F51+F52+F53+F54+F60+F65+F66+F78+F79+F87+F114+F117+F118+F124+F125+F133+F135+F136+F141+F144+F146+F147+F148+F149+F48</f>
        <v>46422</v>
      </c>
      <c r="G30" s="9"/>
      <c r="M30" s="13">
        <v>8000</v>
      </c>
      <c r="N30" s="13">
        <v>800</v>
      </c>
      <c r="O30" s="13" t="s">
        <v>87</v>
      </c>
    </row>
    <row r="31" spans="1:15" ht="16.5" customHeight="1">
      <c r="A31" s="73" t="s">
        <v>7</v>
      </c>
      <c r="B31" s="128" t="s">
        <v>60</v>
      </c>
      <c r="C31" s="128"/>
      <c r="D31" s="128"/>
      <c r="E31" s="128"/>
      <c r="F31" s="74">
        <f>F64+F140</f>
        <v>3000</v>
      </c>
      <c r="G31" s="9"/>
      <c r="M31" s="13"/>
      <c r="N31" s="13"/>
      <c r="O31" s="13"/>
    </row>
    <row r="32" spans="1:15" ht="16.5" customHeight="1">
      <c r="A32" s="73" t="s">
        <v>7</v>
      </c>
      <c r="B32" s="128" t="s">
        <v>120</v>
      </c>
      <c r="C32" s="128"/>
      <c r="D32" s="128"/>
      <c r="E32" s="128"/>
      <c r="F32" s="74">
        <f>F103</f>
        <v>51930</v>
      </c>
      <c r="G32" s="9"/>
      <c r="M32" s="13"/>
      <c r="N32" s="13"/>
      <c r="O32" s="13"/>
    </row>
    <row r="33" spans="1:15" ht="16.5" customHeight="1">
      <c r="A33" s="73" t="s">
        <v>7</v>
      </c>
      <c r="B33" s="128" t="s">
        <v>135</v>
      </c>
      <c r="C33" s="128"/>
      <c r="D33" s="128"/>
      <c r="E33" s="128"/>
      <c r="F33" s="74">
        <f>F70+F91+F102+F104+F119</f>
        <v>5037</v>
      </c>
      <c r="G33" s="9"/>
      <c r="M33" s="13"/>
      <c r="N33" s="13"/>
      <c r="O33" s="13"/>
    </row>
    <row r="34" spans="1:15" ht="16.5" customHeight="1">
      <c r="A34" s="73" t="s">
        <v>7</v>
      </c>
      <c r="B34" s="128" t="s">
        <v>25</v>
      </c>
      <c r="C34" s="128"/>
      <c r="D34" s="128"/>
      <c r="E34" s="128"/>
      <c r="F34" s="74">
        <f>F84+F89+F108+F143+F145+F150+F152</f>
        <v>50074</v>
      </c>
      <c r="G34" s="9"/>
      <c r="M34" s="13"/>
      <c r="N34" s="13"/>
      <c r="O34" s="13"/>
    </row>
    <row r="35" spans="1:7" ht="16.5" customHeight="1">
      <c r="A35" s="73">
        <v>6</v>
      </c>
      <c r="B35" s="128" t="s">
        <v>99</v>
      </c>
      <c r="C35" s="128"/>
      <c r="D35" s="128"/>
      <c r="E35" s="128"/>
      <c r="F35" s="74">
        <f>950*12</f>
        <v>11400</v>
      </c>
      <c r="G35" s="9"/>
    </row>
    <row r="36" spans="1:7" ht="16.5" customHeight="1">
      <c r="A36" s="73">
        <v>7</v>
      </c>
      <c r="B36" s="128" t="s">
        <v>136</v>
      </c>
      <c r="C36" s="128"/>
      <c r="D36" s="128"/>
      <c r="E36" s="128"/>
      <c r="F36" s="74">
        <f>D13+G36</f>
        <v>141294.69</v>
      </c>
      <c r="G36" s="9">
        <f>F63</f>
        <v>10400</v>
      </c>
    </row>
    <row r="37" spans="1:7" ht="17.25" customHeight="1">
      <c r="A37" s="73">
        <v>8</v>
      </c>
      <c r="B37" s="133" t="s">
        <v>35</v>
      </c>
      <c r="C37" s="133"/>
      <c r="D37" s="133"/>
      <c r="E37" s="133"/>
      <c r="F37" s="74">
        <f>D15</f>
        <v>134217.29</v>
      </c>
      <c r="G37" s="9"/>
    </row>
    <row r="38" spans="1:7" ht="17.25" customHeight="1">
      <c r="A38" s="73">
        <v>9</v>
      </c>
      <c r="B38" s="133" t="s">
        <v>36</v>
      </c>
      <c r="C38" s="133"/>
      <c r="D38" s="133"/>
      <c r="E38" s="133"/>
      <c r="F38" s="74">
        <f>D12</f>
        <v>168518.43</v>
      </c>
      <c r="G38" s="9"/>
    </row>
    <row r="39" spans="1:7" ht="17.25" customHeight="1">
      <c r="A39" s="73">
        <v>10</v>
      </c>
      <c r="B39" s="133" t="s">
        <v>100</v>
      </c>
      <c r="C39" s="133"/>
      <c r="D39" s="133"/>
      <c r="E39" s="133"/>
      <c r="F39" s="74">
        <f>D17</f>
        <v>3256.7</v>
      </c>
      <c r="G39" s="9"/>
    </row>
    <row r="40" spans="1:7" s="25" customFormat="1" ht="21" customHeight="1">
      <c r="A40" s="75"/>
      <c r="B40" s="134" t="s">
        <v>8</v>
      </c>
      <c r="C40" s="134"/>
      <c r="D40" s="134"/>
      <c r="E40" s="134"/>
      <c r="F40" s="76">
        <f>F23+F24+F25+F26+F27+F28+F35+F36+F37+F38+F39</f>
        <v>1272151.2499999998</v>
      </c>
      <c r="G40" s="6"/>
    </row>
    <row r="42" spans="1:6" ht="18" customHeight="1">
      <c r="A42" s="116" t="s">
        <v>93</v>
      </c>
      <c r="B42" s="117"/>
      <c r="C42" s="117"/>
      <c r="D42" s="117"/>
      <c r="E42" s="118"/>
      <c r="F42" s="3">
        <f>D7+D18-F40</f>
        <v>294493.80400000024</v>
      </c>
    </row>
    <row r="43" spans="1:7" ht="20.25" customHeight="1">
      <c r="A43" s="116" t="s">
        <v>94</v>
      </c>
      <c r="B43" s="117"/>
      <c r="C43" s="117"/>
      <c r="D43" s="117"/>
      <c r="E43" s="118"/>
      <c r="F43" s="3">
        <f>F18</f>
        <v>-235769.51000000004</v>
      </c>
      <c r="G43" s="58"/>
    </row>
    <row r="44" spans="1:6" ht="18" customHeight="1">
      <c r="A44" s="40" t="s">
        <v>56</v>
      </c>
      <c r="B44" s="40"/>
      <c r="C44" s="40"/>
      <c r="D44" s="40"/>
      <c r="E44" s="40"/>
      <c r="F44" s="3">
        <f>F42+F43</f>
        <v>58724.2940000002</v>
      </c>
    </row>
    <row r="45" ht="11.25" customHeight="1"/>
    <row r="47" spans="1:6" ht="15.75">
      <c r="A47" s="26" t="s">
        <v>14</v>
      </c>
      <c r="B47" s="26" t="s">
        <v>9</v>
      </c>
      <c r="C47" s="119" t="s">
        <v>26</v>
      </c>
      <c r="D47" s="120"/>
      <c r="E47" s="121"/>
      <c r="F47" s="26" t="s">
        <v>27</v>
      </c>
    </row>
    <row r="48" spans="1:6" s="33" customFormat="1" ht="15">
      <c r="A48" s="31">
        <v>1</v>
      </c>
      <c r="B48" s="32" t="s">
        <v>54</v>
      </c>
      <c r="C48" s="135" t="s">
        <v>41</v>
      </c>
      <c r="D48" s="136"/>
      <c r="E48" s="137"/>
      <c r="F48" s="83">
        <f>179*12</f>
        <v>2148</v>
      </c>
    </row>
    <row r="49" spans="1:6" s="33" customFormat="1" ht="15">
      <c r="A49" s="36">
        <v>2</v>
      </c>
      <c r="B49" s="65">
        <v>42384</v>
      </c>
      <c r="C49" s="138" t="s">
        <v>101</v>
      </c>
      <c r="D49" s="138"/>
      <c r="E49" s="138"/>
      <c r="F49" s="68">
        <v>492</v>
      </c>
    </row>
    <row r="50" spans="1:6" s="33" customFormat="1" ht="15">
      <c r="A50" s="36">
        <v>3</v>
      </c>
      <c r="B50" s="65">
        <v>42384</v>
      </c>
      <c r="C50" s="138" t="s">
        <v>101</v>
      </c>
      <c r="D50" s="138"/>
      <c r="E50" s="138"/>
      <c r="F50" s="68">
        <v>762</v>
      </c>
    </row>
    <row r="51" spans="1:6" s="33" customFormat="1" ht="15">
      <c r="A51" s="31">
        <v>4</v>
      </c>
      <c r="B51" s="65">
        <v>42387</v>
      </c>
      <c r="C51" s="138" t="s">
        <v>101</v>
      </c>
      <c r="D51" s="138"/>
      <c r="E51" s="138"/>
      <c r="F51" s="68">
        <v>850</v>
      </c>
    </row>
    <row r="52" spans="1:6" s="33" customFormat="1" ht="15">
      <c r="A52" s="36">
        <v>5</v>
      </c>
      <c r="B52" s="65">
        <v>42387</v>
      </c>
      <c r="C52" s="138" t="s">
        <v>101</v>
      </c>
      <c r="D52" s="138"/>
      <c r="E52" s="138"/>
      <c r="F52" s="68">
        <v>859</v>
      </c>
    </row>
    <row r="53" spans="1:6" s="33" customFormat="1" ht="15">
      <c r="A53" s="36">
        <v>6</v>
      </c>
      <c r="B53" s="65">
        <v>42387</v>
      </c>
      <c r="C53" s="138" t="s">
        <v>101</v>
      </c>
      <c r="D53" s="138"/>
      <c r="E53" s="138"/>
      <c r="F53" s="68">
        <v>886</v>
      </c>
    </row>
    <row r="54" spans="1:6" s="33" customFormat="1" ht="15">
      <c r="A54" s="31">
        <v>7</v>
      </c>
      <c r="B54" s="65">
        <v>42387</v>
      </c>
      <c r="C54" s="138" t="s">
        <v>101</v>
      </c>
      <c r="D54" s="138"/>
      <c r="E54" s="138"/>
      <c r="F54" s="68">
        <v>920</v>
      </c>
    </row>
    <row r="55" spans="1:6" s="33" customFormat="1" ht="15">
      <c r="A55" s="36">
        <v>8</v>
      </c>
      <c r="B55" s="65">
        <v>42388</v>
      </c>
      <c r="C55" s="138" t="s">
        <v>102</v>
      </c>
      <c r="D55" s="138"/>
      <c r="E55" s="138"/>
      <c r="F55" s="82">
        <v>1589</v>
      </c>
    </row>
    <row r="56" spans="1:6" s="33" customFormat="1" ht="15">
      <c r="A56" s="36"/>
      <c r="B56" s="65">
        <v>42389</v>
      </c>
      <c r="C56" s="139" t="s">
        <v>99</v>
      </c>
      <c r="D56" s="140"/>
      <c r="E56" s="141"/>
      <c r="F56" s="80">
        <v>950</v>
      </c>
    </row>
    <row r="57" spans="1:6" s="67" customFormat="1" ht="30" customHeight="1">
      <c r="A57" s="36">
        <v>9</v>
      </c>
      <c r="B57" s="66">
        <v>42391</v>
      </c>
      <c r="C57" s="143" t="s">
        <v>103</v>
      </c>
      <c r="D57" s="144"/>
      <c r="E57" s="145"/>
      <c r="F57" s="84">
        <v>2049</v>
      </c>
    </row>
    <row r="58" spans="1:6" s="67" customFormat="1" ht="30" customHeight="1">
      <c r="A58" s="31">
        <v>10</v>
      </c>
      <c r="B58" s="66">
        <v>42394</v>
      </c>
      <c r="C58" s="142" t="s">
        <v>103</v>
      </c>
      <c r="D58" s="142"/>
      <c r="E58" s="142"/>
      <c r="F58" s="84">
        <v>1165</v>
      </c>
    </row>
    <row r="59" spans="1:6" s="33" customFormat="1" ht="15">
      <c r="A59" s="36">
        <v>11</v>
      </c>
      <c r="B59" s="65">
        <v>42523</v>
      </c>
      <c r="C59" s="138" t="s">
        <v>104</v>
      </c>
      <c r="D59" s="138"/>
      <c r="E59" s="138"/>
      <c r="F59" s="80">
        <v>14000</v>
      </c>
    </row>
    <row r="60" spans="1:6" s="33" customFormat="1" ht="15">
      <c r="A60" s="36">
        <v>12</v>
      </c>
      <c r="B60" s="65">
        <v>42431</v>
      </c>
      <c r="C60" s="138" t="s">
        <v>105</v>
      </c>
      <c r="D60" s="138"/>
      <c r="E60" s="138"/>
      <c r="F60" s="68">
        <v>1473</v>
      </c>
    </row>
    <row r="61" spans="1:6" s="67" customFormat="1" ht="30" customHeight="1">
      <c r="A61" s="31">
        <v>13</v>
      </c>
      <c r="B61" s="66">
        <v>42443</v>
      </c>
      <c r="C61" s="142" t="s">
        <v>103</v>
      </c>
      <c r="D61" s="142"/>
      <c r="E61" s="142"/>
      <c r="F61" s="84">
        <v>654</v>
      </c>
    </row>
    <row r="62" spans="1:6" s="67" customFormat="1" ht="30" customHeight="1">
      <c r="A62" s="36">
        <v>14</v>
      </c>
      <c r="B62" s="66">
        <v>42443</v>
      </c>
      <c r="C62" s="142" t="s">
        <v>103</v>
      </c>
      <c r="D62" s="142"/>
      <c r="E62" s="142"/>
      <c r="F62" s="84">
        <v>654</v>
      </c>
    </row>
    <row r="63" spans="1:6" s="33" customFormat="1" ht="15">
      <c r="A63" s="36">
        <v>15</v>
      </c>
      <c r="B63" s="65">
        <v>42454</v>
      </c>
      <c r="C63" s="138" t="s">
        <v>106</v>
      </c>
      <c r="D63" s="138"/>
      <c r="E63" s="138"/>
      <c r="F63" s="80">
        <f>4*2600</f>
        <v>10400</v>
      </c>
    </row>
    <row r="64" spans="1:6" s="33" customFormat="1" ht="15">
      <c r="A64" s="31">
        <v>16</v>
      </c>
      <c r="B64" s="65">
        <v>42460</v>
      </c>
      <c r="C64" s="138" t="s">
        <v>60</v>
      </c>
      <c r="D64" s="138"/>
      <c r="E64" s="138"/>
      <c r="F64" s="80">
        <v>1500</v>
      </c>
    </row>
    <row r="65" spans="1:6" s="33" customFormat="1" ht="15">
      <c r="A65" s="36">
        <v>17</v>
      </c>
      <c r="B65" s="65">
        <v>42464</v>
      </c>
      <c r="C65" s="142" t="s">
        <v>107</v>
      </c>
      <c r="D65" s="142"/>
      <c r="E65" s="142"/>
      <c r="F65" s="69">
        <v>24569</v>
      </c>
    </row>
    <row r="66" spans="1:6" s="33" customFormat="1" ht="15">
      <c r="A66" s="36">
        <v>18</v>
      </c>
      <c r="B66" s="65">
        <v>42480</v>
      </c>
      <c r="C66" s="138" t="s">
        <v>105</v>
      </c>
      <c r="D66" s="138"/>
      <c r="E66" s="138"/>
      <c r="F66" s="68">
        <v>716</v>
      </c>
    </row>
    <row r="67" spans="1:6" s="33" customFormat="1" ht="15">
      <c r="A67" s="31">
        <v>19</v>
      </c>
      <c r="B67" s="65">
        <v>42485</v>
      </c>
      <c r="C67" s="139" t="s">
        <v>108</v>
      </c>
      <c r="D67" s="140"/>
      <c r="E67" s="141"/>
      <c r="F67" s="80">
        <v>6438</v>
      </c>
    </row>
    <row r="68" spans="1:6" s="67" customFormat="1" ht="30" customHeight="1">
      <c r="A68" s="36">
        <v>20</v>
      </c>
      <c r="B68" s="66">
        <v>42494</v>
      </c>
      <c r="C68" s="142" t="s">
        <v>103</v>
      </c>
      <c r="D68" s="142"/>
      <c r="E68" s="142"/>
      <c r="F68" s="84">
        <v>840</v>
      </c>
    </row>
    <row r="69" spans="1:6" s="33" customFormat="1" ht="15">
      <c r="A69" s="36">
        <v>21</v>
      </c>
      <c r="B69" s="65">
        <v>42506</v>
      </c>
      <c r="C69" s="138" t="s">
        <v>109</v>
      </c>
      <c r="D69" s="138"/>
      <c r="E69" s="138"/>
      <c r="F69" s="82">
        <v>2543</v>
      </c>
    </row>
    <row r="70" spans="1:6" s="33" customFormat="1" ht="15">
      <c r="A70" s="31">
        <v>22</v>
      </c>
      <c r="B70" s="65">
        <v>42509</v>
      </c>
      <c r="C70" s="138" t="s">
        <v>110</v>
      </c>
      <c r="D70" s="138"/>
      <c r="E70" s="138"/>
      <c r="F70" s="80">
        <v>1380</v>
      </c>
    </row>
    <row r="71" spans="1:6" s="33" customFormat="1" ht="15">
      <c r="A71" s="31"/>
      <c r="B71" s="65">
        <v>42510</v>
      </c>
      <c r="C71" s="139" t="s">
        <v>99</v>
      </c>
      <c r="D71" s="140"/>
      <c r="E71" s="141"/>
      <c r="F71" s="80">
        <v>950</v>
      </c>
    </row>
    <row r="72" spans="1:6" s="67" customFormat="1" ht="30" customHeight="1">
      <c r="A72" s="36">
        <v>23</v>
      </c>
      <c r="B72" s="66">
        <v>42510</v>
      </c>
      <c r="C72" s="142" t="s">
        <v>103</v>
      </c>
      <c r="D72" s="142"/>
      <c r="E72" s="142"/>
      <c r="F72" s="84">
        <v>794</v>
      </c>
    </row>
    <row r="73" spans="1:6" s="33" customFormat="1" ht="15">
      <c r="A73" s="36">
        <v>24</v>
      </c>
      <c r="B73" s="65">
        <v>42510</v>
      </c>
      <c r="C73" s="138" t="s">
        <v>111</v>
      </c>
      <c r="D73" s="138"/>
      <c r="E73" s="138"/>
      <c r="F73" s="82">
        <v>1323</v>
      </c>
    </row>
    <row r="74" spans="1:6" s="33" customFormat="1" ht="15">
      <c r="A74" s="31">
        <v>25</v>
      </c>
      <c r="B74" s="65">
        <v>42514</v>
      </c>
      <c r="C74" s="138" t="s">
        <v>109</v>
      </c>
      <c r="D74" s="138"/>
      <c r="E74" s="138"/>
      <c r="F74" s="82">
        <v>1134</v>
      </c>
    </row>
    <row r="75" spans="1:6" s="67" customFormat="1" ht="30" customHeight="1">
      <c r="A75" s="36">
        <v>26</v>
      </c>
      <c r="B75" s="66">
        <v>42516</v>
      </c>
      <c r="C75" s="142" t="s">
        <v>103</v>
      </c>
      <c r="D75" s="142"/>
      <c r="E75" s="142"/>
      <c r="F75" s="84">
        <v>916</v>
      </c>
    </row>
    <row r="76" spans="1:6" s="67" customFormat="1" ht="30" customHeight="1">
      <c r="A76" s="36">
        <v>27</v>
      </c>
      <c r="B76" s="66">
        <v>42516</v>
      </c>
      <c r="C76" s="142" t="s">
        <v>112</v>
      </c>
      <c r="D76" s="142"/>
      <c r="E76" s="142"/>
      <c r="F76" s="84">
        <v>3015</v>
      </c>
    </row>
    <row r="77" spans="1:6" s="33" customFormat="1" ht="15">
      <c r="A77" s="31">
        <v>28</v>
      </c>
      <c r="B77" s="65">
        <v>42516</v>
      </c>
      <c r="C77" s="138" t="s">
        <v>109</v>
      </c>
      <c r="D77" s="138"/>
      <c r="E77" s="138"/>
      <c r="F77" s="82">
        <v>1268</v>
      </c>
    </row>
    <row r="78" spans="1:6" s="33" customFormat="1" ht="15">
      <c r="A78" s="36">
        <v>29</v>
      </c>
      <c r="B78" s="65">
        <v>42516</v>
      </c>
      <c r="C78" s="138" t="s">
        <v>105</v>
      </c>
      <c r="D78" s="138"/>
      <c r="E78" s="138"/>
      <c r="F78" s="68">
        <v>1386</v>
      </c>
    </row>
    <row r="79" spans="1:6" s="33" customFormat="1" ht="15">
      <c r="A79" s="36">
        <v>30</v>
      </c>
      <c r="B79" s="65">
        <v>42516</v>
      </c>
      <c r="C79" s="138" t="s">
        <v>105</v>
      </c>
      <c r="D79" s="138"/>
      <c r="E79" s="138"/>
      <c r="F79" s="68">
        <v>710</v>
      </c>
    </row>
    <row r="80" spans="1:6" s="33" customFormat="1" ht="15">
      <c r="A80" s="31">
        <v>31</v>
      </c>
      <c r="B80" s="65">
        <v>42521</v>
      </c>
      <c r="C80" s="138" t="s">
        <v>113</v>
      </c>
      <c r="D80" s="138"/>
      <c r="E80" s="138"/>
      <c r="F80" s="80">
        <v>5435</v>
      </c>
    </row>
    <row r="81" spans="1:6" s="67" customFormat="1" ht="15">
      <c r="A81" s="36">
        <v>32</v>
      </c>
      <c r="B81" s="66">
        <v>42523</v>
      </c>
      <c r="C81" s="142" t="s">
        <v>103</v>
      </c>
      <c r="D81" s="142"/>
      <c r="E81" s="142"/>
      <c r="F81" s="84">
        <v>654</v>
      </c>
    </row>
    <row r="82" spans="1:6" s="67" customFormat="1" ht="30" customHeight="1">
      <c r="A82" s="36">
        <v>33</v>
      </c>
      <c r="B82" s="66">
        <v>42524</v>
      </c>
      <c r="C82" s="142" t="s">
        <v>114</v>
      </c>
      <c r="D82" s="142"/>
      <c r="E82" s="142"/>
      <c r="F82" s="84">
        <v>450</v>
      </c>
    </row>
    <row r="83" spans="1:6" s="67" customFormat="1" ht="30" customHeight="1">
      <c r="A83" s="31">
        <v>34</v>
      </c>
      <c r="B83" s="66">
        <v>42527</v>
      </c>
      <c r="C83" s="142" t="s">
        <v>103</v>
      </c>
      <c r="D83" s="142"/>
      <c r="E83" s="142"/>
      <c r="F83" s="84">
        <v>654</v>
      </c>
    </row>
    <row r="84" spans="1:6" s="33" customFormat="1" ht="15">
      <c r="A84" s="36">
        <v>35</v>
      </c>
      <c r="B84" s="65">
        <v>42527</v>
      </c>
      <c r="C84" s="138" t="s">
        <v>115</v>
      </c>
      <c r="D84" s="138"/>
      <c r="E84" s="138"/>
      <c r="F84" s="80">
        <v>20100</v>
      </c>
    </row>
    <row r="85" spans="1:6" s="33" customFormat="1" ht="15">
      <c r="A85" s="36">
        <v>36</v>
      </c>
      <c r="B85" s="65">
        <v>42529</v>
      </c>
      <c r="C85" s="138" t="s">
        <v>109</v>
      </c>
      <c r="D85" s="138"/>
      <c r="E85" s="138"/>
      <c r="F85" s="82">
        <v>1190</v>
      </c>
    </row>
    <row r="86" spans="1:6" s="67" customFormat="1" ht="30" customHeight="1">
      <c r="A86" s="31">
        <v>37</v>
      </c>
      <c r="B86" s="66">
        <v>42541</v>
      </c>
      <c r="C86" s="142" t="s">
        <v>103</v>
      </c>
      <c r="D86" s="142"/>
      <c r="E86" s="142"/>
      <c r="F86" s="84">
        <v>888</v>
      </c>
    </row>
    <row r="87" spans="1:6" s="33" customFormat="1" ht="15">
      <c r="A87" s="36">
        <v>38</v>
      </c>
      <c r="B87" s="65">
        <v>42541</v>
      </c>
      <c r="C87" s="138" t="s">
        <v>116</v>
      </c>
      <c r="D87" s="138"/>
      <c r="E87" s="138"/>
      <c r="F87" s="68">
        <v>492</v>
      </c>
    </row>
    <row r="88" spans="1:6" s="67" customFormat="1" ht="30" customHeight="1">
      <c r="A88" s="36">
        <v>39</v>
      </c>
      <c r="B88" s="66">
        <v>42549</v>
      </c>
      <c r="C88" s="142" t="s">
        <v>103</v>
      </c>
      <c r="D88" s="142"/>
      <c r="E88" s="142"/>
      <c r="F88" s="84">
        <v>1218</v>
      </c>
    </row>
    <row r="89" spans="1:6" s="33" customFormat="1" ht="15">
      <c r="A89" s="31">
        <v>40</v>
      </c>
      <c r="B89" s="65">
        <v>42556</v>
      </c>
      <c r="C89" s="138" t="s">
        <v>117</v>
      </c>
      <c r="D89" s="138"/>
      <c r="E89" s="138"/>
      <c r="F89" s="80">
        <v>18459</v>
      </c>
    </row>
    <row r="90" spans="1:6" s="67" customFormat="1" ht="30" customHeight="1">
      <c r="A90" s="36">
        <v>41</v>
      </c>
      <c r="B90" s="66">
        <v>42564</v>
      </c>
      <c r="C90" s="142" t="s">
        <v>103</v>
      </c>
      <c r="D90" s="142"/>
      <c r="E90" s="142"/>
      <c r="F90" s="84">
        <v>654</v>
      </c>
    </row>
    <row r="91" spans="1:6" s="33" customFormat="1" ht="15">
      <c r="A91" s="36">
        <v>42</v>
      </c>
      <c r="B91" s="65">
        <v>42570</v>
      </c>
      <c r="C91" s="138" t="s">
        <v>110</v>
      </c>
      <c r="D91" s="138"/>
      <c r="E91" s="138"/>
      <c r="F91" s="80">
        <v>690</v>
      </c>
    </row>
    <row r="92" spans="1:6" s="33" customFormat="1" ht="15">
      <c r="A92" s="31">
        <v>43</v>
      </c>
      <c r="B92" s="65">
        <v>42570</v>
      </c>
      <c r="C92" s="138" t="s">
        <v>118</v>
      </c>
      <c r="D92" s="138"/>
      <c r="E92" s="138"/>
      <c r="F92" s="82">
        <v>1364</v>
      </c>
    </row>
    <row r="93" spans="1:6" s="67" customFormat="1" ht="30" customHeight="1">
      <c r="A93" s="36">
        <v>44</v>
      </c>
      <c r="B93" s="66">
        <v>42572</v>
      </c>
      <c r="C93" s="142" t="s">
        <v>103</v>
      </c>
      <c r="D93" s="142"/>
      <c r="E93" s="142"/>
      <c r="F93" s="84">
        <v>931</v>
      </c>
    </row>
    <row r="94" spans="1:6" s="67" customFormat="1" ht="30" customHeight="1">
      <c r="A94" s="36">
        <v>45</v>
      </c>
      <c r="B94" s="66">
        <v>42572</v>
      </c>
      <c r="C94" s="142" t="s">
        <v>103</v>
      </c>
      <c r="D94" s="142"/>
      <c r="E94" s="142"/>
      <c r="F94" s="84">
        <v>654</v>
      </c>
    </row>
    <row r="95" spans="1:6" s="67" customFormat="1" ht="30" customHeight="1">
      <c r="A95" s="31">
        <v>46</v>
      </c>
      <c r="B95" s="66">
        <v>42572</v>
      </c>
      <c r="C95" s="142" t="s">
        <v>103</v>
      </c>
      <c r="D95" s="142"/>
      <c r="E95" s="142"/>
      <c r="F95" s="84">
        <v>654</v>
      </c>
    </row>
    <row r="96" spans="1:6" s="67" customFormat="1" ht="30" customHeight="1">
      <c r="A96" s="36">
        <v>47</v>
      </c>
      <c r="B96" s="66">
        <v>42572</v>
      </c>
      <c r="C96" s="142" t="s">
        <v>103</v>
      </c>
      <c r="D96" s="142"/>
      <c r="E96" s="142"/>
      <c r="F96" s="84">
        <v>654</v>
      </c>
    </row>
    <row r="97" spans="1:6" s="67" customFormat="1" ht="30" customHeight="1">
      <c r="A97" s="36">
        <v>48</v>
      </c>
      <c r="B97" s="66">
        <v>42573</v>
      </c>
      <c r="C97" s="142" t="s">
        <v>103</v>
      </c>
      <c r="D97" s="142"/>
      <c r="E97" s="142"/>
      <c r="F97" s="84">
        <v>654</v>
      </c>
    </row>
    <row r="98" spans="1:6" s="67" customFormat="1" ht="30" customHeight="1">
      <c r="A98" s="31">
        <v>49</v>
      </c>
      <c r="B98" s="66">
        <v>42576</v>
      </c>
      <c r="C98" s="142" t="s">
        <v>103</v>
      </c>
      <c r="D98" s="142"/>
      <c r="E98" s="142"/>
      <c r="F98" s="84">
        <v>654</v>
      </c>
    </row>
    <row r="99" spans="1:6" s="33" customFormat="1" ht="15">
      <c r="A99" s="36">
        <v>50</v>
      </c>
      <c r="B99" s="65">
        <v>42576</v>
      </c>
      <c r="C99" s="138" t="s">
        <v>119</v>
      </c>
      <c r="D99" s="138"/>
      <c r="E99" s="138"/>
      <c r="F99" s="82">
        <v>1312</v>
      </c>
    </row>
    <row r="100" spans="1:6" s="67" customFormat="1" ht="30" customHeight="1">
      <c r="A100" s="36">
        <v>51</v>
      </c>
      <c r="B100" s="66">
        <v>42577</v>
      </c>
      <c r="C100" s="142" t="s">
        <v>103</v>
      </c>
      <c r="D100" s="142"/>
      <c r="E100" s="142"/>
      <c r="F100" s="84">
        <v>654</v>
      </c>
    </row>
    <row r="101" spans="1:6" s="33" customFormat="1" ht="15">
      <c r="A101" s="31">
        <v>52</v>
      </c>
      <c r="B101" s="65">
        <v>42587</v>
      </c>
      <c r="C101" s="138" t="s">
        <v>109</v>
      </c>
      <c r="D101" s="138"/>
      <c r="E101" s="138"/>
      <c r="F101" s="82">
        <v>477</v>
      </c>
    </row>
    <row r="102" spans="1:6" s="33" customFormat="1" ht="15">
      <c r="A102" s="36">
        <v>53</v>
      </c>
      <c r="B102" s="65">
        <v>42590</v>
      </c>
      <c r="C102" s="138" t="s">
        <v>110</v>
      </c>
      <c r="D102" s="138"/>
      <c r="E102" s="138"/>
      <c r="F102" s="80">
        <v>1587</v>
      </c>
    </row>
    <row r="103" spans="1:6" s="33" customFormat="1" ht="15">
      <c r="A103" s="36">
        <v>54</v>
      </c>
      <c r="B103" s="65">
        <v>42594</v>
      </c>
      <c r="C103" s="138" t="s">
        <v>120</v>
      </c>
      <c r="D103" s="138"/>
      <c r="E103" s="138"/>
      <c r="F103" s="80">
        <v>51930</v>
      </c>
    </row>
    <row r="104" spans="1:6" s="33" customFormat="1" ht="15">
      <c r="A104" s="31">
        <v>55</v>
      </c>
      <c r="B104" s="65">
        <v>42595</v>
      </c>
      <c r="C104" s="138" t="s">
        <v>110</v>
      </c>
      <c r="D104" s="138"/>
      <c r="E104" s="138"/>
      <c r="F104" s="80">
        <v>690</v>
      </c>
    </row>
    <row r="105" spans="1:6" s="67" customFormat="1" ht="30" customHeight="1">
      <c r="A105" s="36">
        <v>56</v>
      </c>
      <c r="B105" s="66">
        <v>42600</v>
      </c>
      <c r="C105" s="142" t="s">
        <v>103</v>
      </c>
      <c r="D105" s="142"/>
      <c r="E105" s="142"/>
      <c r="F105" s="84">
        <v>519</v>
      </c>
    </row>
    <row r="106" spans="1:6" s="67" customFormat="1" ht="15">
      <c r="A106" s="36"/>
      <c r="B106" s="66">
        <v>42602</v>
      </c>
      <c r="C106" s="143" t="s">
        <v>99</v>
      </c>
      <c r="D106" s="144"/>
      <c r="E106" s="145"/>
      <c r="F106" s="81">
        <v>950</v>
      </c>
    </row>
    <row r="107" spans="1:6" s="67" customFormat="1" ht="30" customHeight="1">
      <c r="A107" s="36">
        <v>57</v>
      </c>
      <c r="B107" s="66">
        <v>42605</v>
      </c>
      <c r="C107" s="142" t="s">
        <v>103</v>
      </c>
      <c r="D107" s="142"/>
      <c r="E107" s="142"/>
      <c r="F107" s="84">
        <v>1589</v>
      </c>
    </row>
    <row r="108" spans="1:6" s="33" customFormat="1" ht="15">
      <c r="A108" s="31">
        <v>58</v>
      </c>
      <c r="B108" s="65">
        <v>42607</v>
      </c>
      <c r="C108" s="138" t="s">
        <v>133</v>
      </c>
      <c r="D108" s="138"/>
      <c r="E108" s="138"/>
      <c r="F108" s="80">
        <v>1249</v>
      </c>
    </row>
    <row r="109" spans="1:6" s="67" customFormat="1" ht="30" customHeight="1">
      <c r="A109" s="36">
        <v>59</v>
      </c>
      <c r="B109" s="66">
        <v>42607</v>
      </c>
      <c r="C109" s="142" t="s">
        <v>103</v>
      </c>
      <c r="D109" s="142"/>
      <c r="E109" s="142"/>
      <c r="F109" s="84">
        <v>654</v>
      </c>
    </row>
    <row r="110" spans="1:6" s="67" customFormat="1" ht="30" customHeight="1">
      <c r="A110" s="36">
        <v>60</v>
      </c>
      <c r="B110" s="66">
        <v>42619</v>
      </c>
      <c r="C110" s="142" t="s">
        <v>103</v>
      </c>
      <c r="D110" s="142"/>
      <c r="E110" s="142"/>
      <c r="F110" s="84">
        <v>654</v>
      </c>
    </row>
    <row r="111" spans="1:6" s="67" customFormat="1" ht="30" customHeight="1">
      <c r="A111" s="31">
        <v>61</v>
      </c>
      <c r="B111" s="66">
        <v>42620</v>
      </c>
      <c r="C111" s="142" t="s">
        <v>103</v>
      </c>
      <c r="D111" s="142"/>
      <c r="E111" s="142"/>
      <c r="F111" s="84">
        <v>654</v>
      </c>
    </row>
    <row r="112" spans="1:6" s="33" customFormat="1" ht="15">
      <c r="A112" s="36">
        <v>62</v>
      </c>
      <c r="B112" s="65">
        <v>42625</v>
      </c>
      <c r="C112" s="138" t="s">
        <v>121</v>
      </c>
      <c r="D112" s="138"/>
      <c r="E112" s="138"/>
      <c r="F112" s="82">
        <v>377</v>
      </c>
    </row>
    <row r="113" spans="1:6" s="33" customFormat="1" ht="15">
      <c r="A113" s="36"/>
      <c r="B113" s="65">
        <v>42633</v>
      </c>
      <c r="C113" s="139" t="s">
        <v>99</v>
      </c>
      <c r="D113" s="140"/>
      <c r="E113" s="141"/>
      <c r="F113" s="80">
        <v>950</v>
      </c>
    </row>
    <row r="114" spans="1:6" s="33" customFormat="1" ht="15">
      <c r="A114" s="36">
        <v>63</v>
      </c>
      <c r="B114" s="65">
        <v>42635</v>
      </c>
      <c r="C114" s="138" t="s">
        <v>122</v>
      </c>
      <c r="D114" s="138"/>
      <c r="E114" s="138"/>
      <c r="F114" s="68">
        <v>492</v>
      </c>
    </row>
    <row r="115" spans="1:6" s="33" customFormat="1" ht="15">
      <c r="A115" s="31">
        <v>64</v>
      </c>
      <c r="B115" s="65">
        <v>42636</v>
      </c>
      <c r="C115" s="138" t="s">
        <v>121</v>
      </c>
      <c r="D115" s="138"/>
      <c r="E115" s="138"/>
      <c r="F115" s="82">
        <v>377</v>
      </c>
    </row>
    <row r="116" spans="1:6" s="67" customFormat="1" ht="30" customHeight="1">
      <c r="A116" s="36">
        <v>65</v>
      </c>
      <c r="B116" s="66">
        <v>42640</v>
      </c>
      <c r="C116" s="142" t="s">
        <v>123</v>
      </c>
      <c r="D116" s="142"/>
      <c r="E116" s="142"/>
      <c r="F116" s="84">
        <v>1287</v>
      </c>
    </row>
    <row r="117" spans="1:6" s="33" customFormat="1" ht="15">
      <c r="A117" s="36">
        <v>66</v>
      </c>
      <c r="B117" s="65">
        <v>42640</v>
      </c>
      <c r="C117" s="138" t="s">
        <v>122</v>
      </c>
      <c r="D117" s="138"/>
      <c r="E117" s="138"/>
      <c r="F117" s="68">
        <v>864</v>
      </c>
    </row>
    <row r="118" spans="1:6" s="33" customFormat="1" ht="15">
      <c r="A118" s="31">
        <v>67</v>
      </c>
      <c r="B118" s="65">
        <v>42648</v>
      </c>
      <c r="C118" s="138" t="s">
        <v>122</v>
      </c>
      <c r="D118" s="138"/>
      <c r="E118" s="138"/>
      <c r="F118" s="68">
        <v>671</v>
      </c>
    </row>
    <row r="119" spans="1:6" s="33" customFormat="1" ht="15">
      <c r="A119" s="36">
        <v>68</v>
      </c>
      <c r="B119" s="65">
        <v>42651</v>
      </c>
      <c r="C119" s="138" t="s">
        <v>110</v>
      </c>
      <c r="D119" s="138"/>
      <c r="E119" s="138"/>
      <c r="F119" s="80">
        <v>690</v>
      </c>
    </row>
    <row r="120" spans="1:6" s="33" customFormat="1" ht="15">
      <c r="A120" s="36">
        <v>69</v>
      </c>
      <c r="B120" s="65">
        <v>42653</v>
      </c>
      <c r="C120" s="138" t="s">
        <v>124</v>
      </c>
      <c r="D120" s="138"/>
      <c r="E120" s="138"/>
      <c r="F120" s="82">
        <v>1223</v>
      </c>
    </row>
    <row r="121" spans="1:6" s="33" customFormat="1" ht="15">
      <c r="A121" s="31">
        <v>70</v>
      </c>
      <c r="B121" s="65">
        <v>42653</v>
      </c>
      <c r="C121" s="138" t="s">
        <v>124</v>
      </c>
      <c r="D121" s="138"/>
      <c r="E121" s="138"/>
      <c r="F121" s="82">
        <v>1223</v>
      </c>
    </row>
    <row r="122" spans="1:6" s="33" customFormat="1" ht="15">
      <c r="A122" s="36">
        <v>71</v>
      </c>
      <c r="B122" s="65">
        <v>42653</v>
      </c>
      <c r="C122" s="138" t="s">
        <v>124</v>
      </c>
      <c r="D122" s="138"/>
      <c r="E122" s="138"/>
      <c r="F122" s="82">
        <v>941</v>
      </c>
    </row>
    <row r="123" spans="1:6" s="33" customFormat="1" ht="15">
      <c r="A123" s="36">
        <v>72</v>
      </c>
      <c r="B123" s="65">
        <v>42653</v>
      </c>
      <c r="C123" s="138" t="s">
        <v>124</v>
      </c>
      <c r="D123" s="138"/>
      <c r="E123" s="138"/>
      <c r="F123" s="82">
        <v>752</v>
      </c>
    </row>
    <row r="124" spans="1:6" s="33" customFormat="1" ht="15">
      <c r="A124" s="31">
        <v>73</v>
      </c>
      <c r="B124" s="65">
        <v>42653</v>
      </c>
      <c r="C124" s="138" t="s">
        <v>122</v>
      </c>
      <c r="D124" s="138"/>
      <c r="E124" s="138"/>
      <c r="F124" s="68">
        <v>492</v>
      </c>
    </row>
    <row r="125" spans="1:6" s="33" customFormat="1" ht="15">
      <c r="A125" s="36">
        <v>74</v>
      </c>
      <c r="B125" s="65">
        <v>42655</v>
      </c>
      <c r="C125" s="138" t="s">
        <v>105</v>
      </c>
      <c r="D125" s="138"/>
      <c r="E125" s="138"/>
      <c r="F125" s="68">
        <v>1005</v>
      </c>
    </row>
    <row r="126" spans="1:6" s="33" customFormat="1" ht="15">
      <c r="A126" s="36">
        <v>75</v>
      </c>
      <c r="B126" s="65">
        <v>42657</v>
      </c>
      <c r="C126" s="138" t="s">
        <v>124</v>
      </c>
      <c r="D126" s="138"/>
      <c r="E126" s="138"/>
      <c r="F126" s="82">
        <v>1146</v>
      </c>
    </row>
    <row r="127" spans="1:6" s="33" customFormat="1" ht="15">
      <c r="A127" s="31">
        <v>76</v>
      </c>
      <c r="B127" s="65">
        <v>42660</v>
      </c>
      <c r="C127" s="138" t="s">
        <v>124</v>
      </c>
      <c r="D127" s="138"/>
      <c r="E127" s="138"/>
      <c r="F127" s="82">
        <v>563</v>
      </c>
    </row>
    <row r="128" spans="1:6" s="67" customFormat="1" ht="30" customHeight="1">
      <c r="A128" s="36">
        <v>77</v>
      </c>
      <c r="B128" s="66">
        <v>42660</v>
      </c>
      <c r="C128" s="142" t="s">
        <v>125</v>
      </c>
      <c r="D128" s="142"/>
      <c r="E128" s="142"/>
      <c r="F128" s="84">
        <v>1157</v>
      </c>
    </row>
    <row r="129" spans="1:6" s="33" customFormat="1" ht="15">
      <c r="A129" s="36">
        <v>78</v>
      </c>
      <c r="B129" s="65">
        <v>42662</v>
      </c>
      <c r="C129" s="138" t="s">
        <v>126</v>
      </c>
      <c r="D129" s="138"/>
      <c r="E129" s="138"/>
      <c r="F129" s="80">
        <v>430</v>
      </c>
    </row>
    <row r="130" spans="1:6" s="33" customFormat="1" ht="15">
      <c r="A130" s="36"/>
      <c r="B130" s="65">
        <v>42663</v>
      </c>
      <c r="C130" s="139" t="s">
        <v>99</v>
      </c>
      <c r="D130" s="140"/>
      <c r="E130" s="141"/>
      <c r="F130" s="80">
        <v>950</v>
      </c>
    </row>
    <row r="131" spans="1:6" s="33" customFormat="1" ht="15">
      <c r="A131" s="31">
        <v>79</v>
      </c>
      <c r="B131" s="65">
        <v>42667</v>
      </c>
      <c r="C131" s="138" t="s">
        <v>124</v>
      </c>
      <c r="D131" s="138"/>
      <c r="E131" s="138"/>
      <c r="F131" s="82">
        <v>752</v>
      </c>
    </row>
    <row r="132" spans="1:6" s="67" customFormat="1" ht="30" customHeight="1">
      <c r="A132" s="36">
        <v>80</v>
      </c>
      <c r="B132" s="66">
        <v>42667</v>
      </c>
      <c r="C132" s="142" t="s">
        <v>103</v>
      </c>
      <c r="D132" s="142"/>
      <c r="E132" s="142"/>
      <c r="F132" s="84">
        <v>654</v>
      </c>
    </row>
    <row r="133" spans="1:6" s="33" customFormat="1" ht="15">
      <c r="A133" s="36">
        <v>81</v>
      </c>
      <c r="B133" s="65">
        <v>42670</v>
      </c>
      <c r="C133" s="138" t="s">
        <v>101</v>
      </c>
      <c r="D133" s="138"/>
      <c r="E133" s="138"/>
      <c r="F133" s="68">
        <v>620</v>
      </c>
    </row>
    <row r="134" spans="1:6" s="67" customFormat="1" ht="30" customHeight="1">
      <c r="A134" s="31">
        <v>82</v>
      </c>
      <c r="B134" s="66">
        <v>42676</v>
      </c>
      <c r="C134" s="142" t="s">
        <v>127</v>
      </c>
      <c r="D134" s="142"/>
      <c r="E134" s="142"/>
      <c r="F134" s="84">
        <v>12788</v>
      </c>
    </row>
    <row r="135" spans="1:6" s="33" customFormat="1" ht="15">
      <c r="A135" s="36">
        <v>83</v>
      </c>
      <c r="B135" s="65">
        <v>42676</v>
      </c>
      <c r="C135" s="138" t="s">
        <v>105</v>
      </c>
      <c r="D135" s="138"/>
      <c r="E135" s="138"/>
      <c r="F135" s="68">
        <v>836</v>
      </c>
    </row>
    <row r="136" spans="1:6" s="33" customFormat="1" ht="15">
      <c r="A136" s="36">
        <v>84</v>
      </c>
      <c r="B136" s="65">
        <v>42677</v>
      </c>
      <c r="C136" s="138" t="s">
        <v>105</v>
      </c>
      <c r="D136" s="138"/>
      <c r="E136" s="138"/>
      <c r="F136" s="68">
        <v>954</v>
      </c>
    </row>
    <row r="137" spans="1:6" s="67" customFormat="1" ht="30" customHeight="1">
      <c r="A137" s="31">
        <v>85</v>
      </c>
      <c r="B137" s="66">
        <v>42684</v>
      </c>
      <c r="C137" s="142" t="s">
        <v>103</v>
      </c>
      <c r="D137" s="142"/>
      <c r="E137" s="142"/>
      <c r="F137" s="84">
        <v>654</v>
      </c>
    </row>
    <row r="138" spans="1:6" s="33" customFormat="1" ht="15">
      <c r="A138" s="36">
        <v>86</v>
      </c>
      <c r="B138" s="65">
        <v>42685</v>
      </c>
      <c r="C138" s="138" t="s">
        <v>121</v>
      </c>
      <c r="D138" s="138"/>
      <c r="E138" s="138"/>
      <c r="F138" s="82">
        <v>377</v>
      </c>
    </row>
    <row r="139" spans="1:6" s="67" customFormat="1" ht="30" customHeight="1">
      <c r="A139" s="36">
        <v>87</v>
      </c>
      <c r="B139" s="66">
        <v>42688</v>
      </c>
      <c r="C139" s="142" t="s">
        <v>103</v>
      </c>
      <c r="D139" s="142"/>
      <c r="E139" s="142"/>
      <c r="F139" s="84">
        <v>654</v>
      </c>
    </row>
    <row r="140" spans="1:6" s="33" customFormat="1" ht="15">
      <c r="A140" s="31">
        <v>88</v>
      </c>
      <c r="B140" s="65">
        <v>42689</v>
      </c>
      <c r="C140" s="138" t="s">
        <v>128</v>
      </c>
      <c r="D140" s="138"/>
      <c r="E140" s="138"/>
      <c r="F140" s="80">
        <v>1500</v>
      </c>
    </row>
    <row r="141" spans="1:6" s="33" customFormat="1" ht="15">
      <c r="A141" s="36">
        <v>89</v>
      </c>
      <c r="B141" s="65">
        <v>42691</v>
      </c>
      <c r="C141" s="138" t="s">
        <v>105</v>
      </c>
      <c r="D141" s="138"/>
      <c r="E141" s="138"/>
      <c r="F141" s="68">
        <v>719</v>
      </c>
    </row>
    <row r="142" spans="1:6" s="33" customFormat="1" ht="15">
      <c r="A142" s="36"/>
      <c r="B142" s="65">
        <v>42694</v>
      </c>
      <c r="C142" s="139" t="s">
        <v>99</v>
      </c>
      <c r="D142" s="140"/>
      <c r="E142" s="141"/>
      <c r="F142" s="80">
        <v>950</v>
      </c>
    </row>
    <row r="143" spans="1:6" s="33" customFormat="1" ht="15">
      <c r="A143" s="31">
        <v>91</v>
      </c>
      <c r="B143" s="65">
        <v>42703</v>
      </c>
      <c r="C143" s="138" t="s">
        <v>129</v>
      </c>
      <c r="D143" s="138"/>
      <c r="E143" s="138"/>
      <c r="F143" s="80">
        <v>3006</v>
      </c>
    </row>
    <row r="144" spans="1:6" s="33" customFormat="1" ht="15">
      <c r="A144" s="36">
        <v>92</v>
      </c>
      <c r="B144" s="65">
        <v>42705</v>
      </c>
      <c r="C144" s="138" t="s">
        <v>130</v>
      </c>
      <c r="D144" s="138"/>
      <c r="E144" s="138"/>
      <c r="F144" s="68">
        <v>1324</v>
      </c>
    </row>
    <row r="145" spans="1:6" s="33" customFormat="1" ht="15">
      <c r="A145" s="36">
        <v>93</v>
      </c>
      <c r="B145" s="65">
        <v>42706</v>
      </c>
      <c r="C145" s="138" t="s">
        <v>131</v>
      </c>
      <c r="D145" s="138"/>
      <c r="E145" s="138"/>
      <c r="F145" s="80">
        <v>270</v>
      </c>
    </row>
    <row r="146" spans="1:6" s="33" customFormat="1" ht="15">
      <c r="A146" s="31">
        <v>94</v>
      </c>
      <c r="B146" s="65">
        <v>42711</v>
      </c>
      <c r="C146" s="138" t="s">
        <v>132</v>
      </c>
      <c r="D146" s="138"/>
      <c r="E146" s="138"/>
      <c r="F146" s="68">
        <v>544</v>
      </c>
    </row>
    <row r="147" spans="1:6" s="33" customFormat="1" ht="15">
      <c r="A147" s="36">
        <v>95</v>
      </c>
      <c r="B147" s="65">
        <v>42711</v>
      </c>
      <c r="C147" s="138" t="s">
        <v>132</v>
      </c>
      <c r="D147" s="138"/>
      <c r="E147" s="138"/>
      <c r="F147" s="68">
        <v>586</v>
      </c>
    </row>
    <row r="148" spans="1:6" s="33" customFormat="1" ht="15">
      <c r="A148" s="36">
        <v>96</v>
      </c>
      <c r="B148" s="65">
        <v>42712</v>
      </c>
      <c r="C148" s="138" t="s">
        <v>132</v>
      </c>
      <c r="D148" s="138"/>
      <c r="E148" s="138"/>
      <c r="F148" s="68">
        <v>627</v>
      </c>
    </row>
    <row r="149" spans="1:6" s="33" customFormat="1" ht="15">
      <c r="A149" s="31">
        <v>97</v>
      </c>
      <c r="B149" s="65">
        <v>42717</v>
      </c>
      <c r="C149" s="138" t="s">
        <v>132</v>
      </c>
      <c r="D149" s="138"/>
      <c r="E149" s="138"/>
      <c r="F149" s="68">
        <v>425</v>
      </c>
    </row>
    <row r="150" spans="1:6" s="33" customFormat="1" ht="15">
      <c r="A150" s="36">
        <v>98</v>
      </c>
      <c r="B150" s="65">
        <v>42718</v>
      </c>
      <c r="C150" s="138" t="s">
        <v>133</v>
      </c>
      <c r="D150" s="138"/>
      <c r="E150" s="138"/>
      <c r="F150" s="80">
        <v>1077</v>
      </c>
    </row>
    <row r="151" spans="1:6" s="33" customFormat="1" ht="15">
      <c r="A151" s="36"/>
      <c r="B151" s="65">
        <v>42724</v>
      </c>
      <c r="C151" s="139" t="s">
        <v>99</v>
      </c>
      <c r="D151" s="140"/>
      <c r="E151" s="141"/>
      <c r="F151" s="80">
        <v>950</v>
      </c>
    </row>
    <row r="152" spans="1:6" s="33" customFormat="1" ht="15">
      <c r="A152" s="36">
        <v>99</v>
      </c>
      <c r="B152" s="65">
        <v>42724</v>
      </c>
      <c r="C152" s="138" t="s">
        <v>134</v>
      </c>
      <c r="D152" s="138"/>
      <c r="E152" s="138"/>
      <c r="F152" s="80">
        <v>5913</v>
      </c>
    </row>
    <row r="153" spans="1:6" s="25" customFormat="1" ht="15.75">
      <c r="A153" s="115" t="s">
        <v>28</v>
      </c>
      <c r="B153" s="115"/>
      <c r="C153" s="115"/>
      <c r="D153" s="115"/>
      <c r="E153" s="115"/>
      <c r="F153" s="27">
        <f>SUM(F48:F152)</f>
        <v>260471</v>
      </c>
    </row>
  </sheetData>
  <sheetProtection selectLockedCells="1" selectUnlockedCells="1"/>
  <mergeCells count="132">
    <mergeCell ref="C56:E56"/>
    <mergeCell ref="C71:E71"/>
    <mergeCell ref="C106:E106"/>
    <mergeCell ref="C113:E113"/>
    <mergeCell ref="C130:E130"/>
    <mergeCell ref="C142:E142"/>
    <mergeCell ref="C104:E104"/>
    <mergeCell ref="C105:E105"/>
    <mergeCell ref="C107:E107"/>
    <mergeCell ref="C108:E108"/>
    <mergeCell ref="C109:E109"/>
    <mergeCell ref="C99:E99"/>
    <mergeCell ref="C100:E100"/>
    <mergeCell ref="C101:E101"/>
    <mergeCell ref="C102:E102"/>
    <mergeCell ref="C103:E103"/>
    <mergeCell ref="C93:E93"/>
    <mergeCell ref="C94:E94"/>
    <mergeCell ref="C95:E95"/>
    <mergeCell ref="C96:E96"/>
    <mergeCell ref="C97:E97"/>
    <mergeCell ref="C98:E98"/>
    <mergeCell ref="C88:E88"/>
    <mergeCell ref="C89:E89"/>
    <mergeCell ref="C90:E90"/>
    <mergeCell ref="C91:E91"/>
    <mergeCell ref="C92:E92"/>
    <mergeCell ref="C82:E82"/>
    <mergeCell ref="C83:E83"/>
    <mergeCell ref="C84:E84"/>
    <mergeCell ref="C85:E85"/>
    <mergeCell ref="C86:E86"/>
    <mergeCell ref="C87:E87"/>
    <mergeCell ref="C77:E77"/>
    <mergeCell ref="C78:E78"/>
    <mergeCell ref="C79:E79"/>
    <mergeCell ref="C80:E80"/>
    <mergeCell ref="C81:E81"/>
    <mergeCell ref="C70:E70"/>
    <mergeCell ref="C72:E72"/>
    <mergeCell ref="C73:E73"/>
    <mergeCell ref="C74:E74"/>
    <mergeCell ref="C75:E75"/>
    <mergeCell ref="C76:E76"/>
    <mergeCell ref="C64:E64"/>
    <mergeCell ref="C65:E65"/>
    <mergeCell ref="C66:E66"/>
    <mergeCell ref="C67:E67"/>
    <mergeCell ref="C68:E68"/>
    <mergeCell ref="C69:E69"/>
    <mergeCell ref="C58:E58"/>
    <mergeCell ref="C59:E59"/>
    <mergeCell ref="C60:E60"/>
    <mergeCell ref="C61:E61"/>
    <mergeCell ref="C62:E62"/>
    <mergeCell ref="C63:E63"/>
    <mergeCell ref="C141:E141"/>
    <mergeCell ref="C49:E49"/>
    <mergeCell ref="C50:E50"/>
    <mergeCell ref="C51:E51"/>
    <mergeCell ref="C52:E52"/>
    <mergeCell ref="C53:E53"/>
    <mergeCell ref="C54:E54"/>
    <mergeCell ref="C55:E55"/>
    <mergeCell ref="C57:E57"/>
    <mergeCell ref="C135:E135"/>
    <mergeCell ref="C136:E136"/>
    <mergeCell ref="C137:E137"/>
    <mergeCell ref="C138:E138"/>
    <mergeCell ref="C139:E139"/>
    <mergeCell ref="C140:E140"/>
    <mergeCell ref="C128:E128"/>
    <mergeCell ref="C129:E129"/>
    <mergeCell ref="C131:E131"/>
    <mergeCell ref="C132:E132"/>
    <mergeCell ref="C133:E133"/>
    <mergeCell ref="C134:E134"/>
    <mergeCell ref="C122:E122"/>
    <mergeCell ref="C123:E123"/>
    <mergeCell ref="C124:E124"/>
    <mergeCell ref="C125:E125"/>
    <mergeCell ref="C126:E126"/>
    <mergeCell ref="C127:E127"/>
    <mergeCell ref="C116:E116"/>
    <mergeCell ref="C117:E117"/>
    <mergeCell ref="C118:E118"/>
    <mergeCell ref="C119:E119"/>
    <mergeCell ref="C120:E120"/>
    <mergeCell ref="C121:E121"/>
    <mergeCell ref="A153:E153"/>
    <mergeCell ref="A42:E42"/>
    <mergeCell ref="A43:E43"/>
    <mergeCell ref="B39:E39"/>
    <mergeCell ref="C110:E110"/>
    <mergeCell ref="C111:E111"/>
    <mergeCell ref="C112:E112"/>
    <mergeCell ref="C114:E114"/>
    <mergeCell ref="C115:E115"/>
    <mergeCell ref="C149:E149"/>
    <mergeCell ref="C150:E150"/>
    <mergeCell ref="C152:E152"/>
    <mergeCell ref="C143:E143"/>
    <mergeCell ref="C144:E144"/>
    <mergeCell ref="C145:E145"/>
    <mergeCell ref="C146:E146"/>
    <mergeCell ref="C147:E147"/>
    <mergeCell ref="C148:E148"/>
    <mergeCell ref="C151:E151"/>
    <mergeCell ref="B36:E36"/>
    <mergeCell ref="B37:E37"/>
    <mergeCell ref="B38:E38"/>
    <mergeCell ref="B40:E40"/>
    <mergeCell ref="C47:E47"/>
    <mergeCell ref="C48:E48"/>
    <mergeCell ref="B31:E31"/>
    <mergeCell ref="B32:E32"/>
    <mergeCell ref="B33:E33"/>
    <mergeCell ref="B34:E34"/>
    <mergeCell ref="B35:E35"/>
    <mergeCell ref="M24:O24"/>
    <mergeCell ref="B25:E25"/>
    <mergeCell ref="B26:E26"/>
    <mergeCell ref="B28:E28"/>
    <mergeCell ref="B29:E29"/>
    <mergeCell ref="B30:E30"/>
    <mergeCell ref="B27:E27"/>
    <mergeCell ref="A1:F1"/>
    <mergeCell ref="A2:F2"/>
    <mergeCell ref="A20:F20"/>
    <mergeCell ref="B22:E22"/>
    <mergeCell ref="B23:E23"/>
    <mergeCell ref="B24:E24"/>
  </mergeCells>
  <printOptions horizontalCentered="1" verticalCentered="1"/>
  <pageMargins left="0.7480314960629921" right="0.7480314960629921" top="0.1968503937007874" bottom="0.1968503937007874" header="0" footer="0"/>
  <pageSetup horizontalDpi="300" verticalDpi="300" orientation="portrait" paperSize="9" r:id="rId1"/>
  <rowBreaks count="1" manualBreakCount="1">
    <brk id="46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O79"/>
  <sheetViews>
    <sheetView view="pageBreakPreview" zoomScaleSheetLayoutView="100" zoomScalePageLayoutView="0" workbookViewId="0" topLeftCell="A24">
      <selection activeCell="F24" sqref="F24"/>
    </sheetView>
  </sheetViews>
  <sheetFormatPr defaultColWidth="9.140625" defaultRowHeight="12.75" outlineLevelRow="1"/>
  <cols>
    <col min="1" max="1" width="4.421875" style="8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1.7109375" style="5" customWidth="1"/>
    <col min="8" max="8" width="9.57421875" style="5" bestFit="1" customWidth="1"/>
    <col min="9" max="9" width="11.421875" style="5" customWidth="1"/>
    <col min="10" max="10" width="15.7109375" style="5" customWidth="1"/>
    <col min="11" max="11" width="15.8515625" style="5" customWidth="1"/>
    <col min="12" max="12" width="16.57421875" style="5" customWidth="1"/>
    <col min="13" max="16384" width="9.140625" style="5" customWidth="1"/>
  </cols>
  <sheetData>
    <row r="1" spans="1:7" ht="15.75">
      <c r="A1" s="126" t="s">
        <v>29</v>
      </c>
      <c r="B1" s="126"/>
      <c r="C1" s="126"/>
      <c r="D1" s="126"/>
      <c r="E1" s="126"/>
      <c r="F1" s="126"/>
      <c r="G1" s="53"/>
    </row>
    <row r="2" spans="1:8" ht="16.5" customHeight="1">
      <c r="A2" s="126" t="s">
        <v>38</v>
      </c>
      <c r="B2" s="126"/>
      <c r="C2" s="126"/>
      <c r="D2" s="126"/>
      <c r="E2" s="126"/>
      <c r="F2" s="126"/>
      <c r="G2" s="6"/>
      <c r="H2" s="7"/>
    </row>
    <row r="3" ht="16.5" customHeight="1"/>
    <row r="4" spans="1:6" ht="16.5" customHeight="1" hidden="1" outlineLevel="1">
      <c r="A4" s="50" t="s">
        <v>79</v>
      </c>
      <c r="C4" s="9"/>
      <c r="D4" s="9"/>
      <c r="E4" s="9"/>
      <c r="F4" s="9"/>
    </row>
    <row r="5" spans="1:6" ht="16.5" customHeight="1" hidden="1" outlineLevel="1">
      <c r="A5" s="9" t="s">
        <v>11</v>
      </c>
      <c r="C5" s="9"/>
      <c r="D5" s="9">
        <v>7173.4</v>
      </c>
      <c r="E5" s="9" t="s">
        <v>12</v>
      </c>
      <c r="F5" s="9"/>
    </row>
    <row r="6" ht="16.5" customHeight="1" collapsed="1">
      <c r="I6" s="29"/>
    </row>
    <row r="7" spans="1:6" ht="16.5" customHeight="1">
      <c r="A7" s="6" t="s">
        <v>76</v>
      </c>
      <c r="C7" s="6"/>
      <c r="D7" s="10">
        <v>0</v>
      </c>
      <c r="E7" s="6" t="s">
        <v>78</v>
      </c>
      <c r="F7" s="6"/>
    </row>
    <row r="8" spans="1:6" ht="16.5" customHeight="1">
      <c r="A8" s="6" t="s">
        <v>77</v>
      </c>
      <c r="C8" s="9"/>
      <c r="D8" s="11">
        <v>0</v>
      </c>
      <c r="E8" s="9" t="s">
        <v>78</v>
      </c>
      <c r="F8" s="9"/>
    </row>
    <row r="9" spans="2:12" ht="16.5" customHeight="1">
      <c r="B9" s="9"/>
      <c r="C9" s="9"/>
      <c r="D9" s="9"/>
      <c r="E9" s="9"/>
      <c r="F9" s="12" t="s">
        <v>13</v>
      </c>
      <c r="J9" s="54">
        <f>388646.49+258811.76-4187.26+2347.8-1434.33</f>
        <v>644184.4600000001</v>
      </c>
      <c r="K9" s="55">
        <f>296403.54+234509.88</f>
        <v>530913.4199999999</v>
      </c>
      <c r="L9" s="56">
        <f>K9-J9</f>
        <v>-113271.04000000015</v>
      </c>
    </row>
    <row r="10" spans="1:12" s="8" customFormat="1" ht="28.5" customHeight="1">
      <c r="A10" s="52" t="s">
        <v>14</v>
      </c>
      <c r="B10" s="13" t="s">
        <v>15</v>
      </c>
      <c r="C10" s="14" t="s">
        <v>71</v>
      </c>
      <c r="D10" s="14" t="s">
        <v>0</v>
      </c>
      <c r="E10" s="14" t="s">
        <v>16</v>
      </c>
      <c r="F10" s="14" t="s">
        <v>30</v>
      </c>
      <c r="J10" s="54">
        <f>84357.15+56176.03-908.87+509.6</f>
        <v>140133.91</v>
      </c>
      <c r="K10" s="54">
        <f>64335.51+51212.51</f>
        <v>115548.02</v>
      </c>
      <c r="L10" s="56">
        <f aca="true" t="shared" si="0" ref="L10:L15">K10-J10</f>
        <v>-24585.89</v>
      </c>
    </row>
    <row r="11" spans="1:12" s="17" customFormat="1" ht="30" customHeight="1">
      <c r="A11" s="52">
        <v>1</v>
      </c>
      <c r="B11" s="15" t="s">
        <v>1</v>
      </c>
      <c r="C11" s="30">
        <v>0</v>
      </c>
      <c r="D11" s="30">
        <f aca="true" t="shared" si="1" ref="D11:E17">J9</f>
        <v>644184.4600000001</v>
      </c>
      <c r="E11" s="30">
        <f t="shared" si="1"/>
        <v>530913.4199999999</v>
      </c>
      <c r="F11" s="30">
        <f aca="true" t="shared" si="2" ref="F11:F16">C11-D11+E11</f>
        <v>-113271.04000000015</v>
      </c>
      <c r="G11" s="5" t="s">
        <v>32</v>
      </c>
      <c r="H11" s="5">
        <v>9.21</v>
      </c>
      <c r="I11" s="29">
        <f>H11*10*H23</f>
        <v>660670.14</v>
      </c>
      <c r="J11" s="54">
        <f>67627.9+47800.93-3692.73+512.2+1434.33</f>
        <v>113682.62999999999</v>
      </c>
      <c r="K11" s="54">
        <f>51173.18+42094.25</f>
        <v>93267.43</v>
      </c>
      <c r="L11" s="56">
        <f t="shared" si="0"/>
        <v>-20415.199999999997</v>
      </c>
    </row>
    <row r="12" spans="1:12" s="17" customFormat="1" ht="15.75">
      <c r="A12" s="52">
        <v>2</v>
      </c>
      <c r="B12" s="15" t="s">
        <v>2</v>
      </c>
      <c r="C12" s="30">
        <v>0</v>
      </c>
      <c r="D12" s="30">
        <f t="shared" si="1"/>
        <v>140133.91</v>
      </c>
      <c r="E12" s="30">
        <f t="shared" si="1"/>
        <v>115548.02</v>
      </c>
      <c r="F12" s="30">
        <f t="shared" si="2"/>
        <v>-24585.89</v>
      </c>
      <c r="G12" s="9" t="s">
        <v>33</v>
      </c>
      <c r="H12" s="5">
        <v>2.92</v>
      </c>
      <c r="I12" s="28">
        <f>H12*10*H23</f>
        <v>209463.27999999997</v>
      </c>
      <c r="J12" s="54">
        <f>77041.86+51304.43-829.91+465.4</f>
        <v>127981.78</v>
      </c>
      <c r="K12" s="54">
        <f>58545.21+46771.35</f>
        <v>105316.56</v>
      </c>
      <c r="L12" s="56">
        <f t="shared" si="0"/>
        <v>-22665.22</v>
      </c>
    </row>
    <row r="13" spans="1:12" s="17" customFormat="1" ht="29.25" customHeight="1">
      <c r="A13" s="52">
        <v>3</v>
      </c>
      <c r="B13" s="15" t="s">
        <v>72</v>
      </c>
      <c r="C13" s="30">
        <v>0</v>
      </c>
      <c r="D13" s="30">
        <f t="shared" si="1"/>
        <v>113682.62999999999</v>
      </c>
      <c r="E13" s="30">
        <f t="shared" si="1"/>
        <v>93267.43</v>
      </c>
      <c r="F13" s="30">
        <f t="shared" si="2"/>
        <v>-20415.199999999997</v>
      </c>
      <c r="G13" s="9" t="s">
        <v>37</v>
      </c>
      <c r="H13" s="5">
        <v>2.04</v>
      </c>
      <c r="I13" s="28">
        <f>H13*10*H23</f>
        <v>146337.36</v>
      </c>
      <c r="J13" s="54">
        <f>43347.09+19014.24-327.93+327.92</f>
        <v>62361.32</v>
      </c>
      <c r="K13" s="54">
        <f>30263.52+16633.74</f>
        <v>46897.26</v>
      </c>
      <c r="L13" s="56">
        <f t="shared" si="0"/>
        <v>-15464.059999999998</v>
      </c>
    </row>
    <row r="14" spans="1:12" s="17" customFormat="1" ht="15.75">
      <c r="A14" s="52">
        <v>4</v>
      </c>
      <c r="B14" s="15" t="s">
        <v>73</v>
      </c>
      <c r="C14" s="30">
        <v>0</v>
      </c>
      <c r="D14" s="30">
        <f t="shared" si="1"/>
        <v>127981.78</v>
      </c>
      <c r="E14" s="30">
        <f t="shared" si="1"/>
        <v>105316.56</v>
      </c>
      <c r="F14" s="30">
        <f t="shared" si="2"/>
        <v>-22665.22</v>
      </c>
      <c r="G14" s="16"/>
      <c r="H14" s="16"/>
      <c r="J14" s="54">
        <v>11190.06</v>
      </c>
      <c r="K14" s="54">
        <v>8534.2</v>
      </c>
      <c r="L14" s="56">
        <f t="shared" si="0"/>
        <v>-2655.8599999999988</v>
      </c>
    </row>
    <row r="15" spans="1:12" s="17" customFormat="1" ht="30" customHeight="1">
      <c r="A15" s="52">
        <v>5</v>
      </c>
      <c r="B15" s="15" t="s">
        <v>35</v>
      </c>
      <c r="C15" s="30">
        <v>0</v>
      </c>
      <c r="D15" s="30">
        <f t="shared" si="1"/>
        <v>62361.32</v>
      </c>
      <c r="E15" s="30">
        <f t="shared" si="1"/>
        <v>46897.26</v>
      </c>
      <c r="F15" s="30">
        <f t="shared" si="2"/>
        <v>-15464.059999999998</v>
      </c>
      <c r="G15" s="16"/>
      <c r="H15" s="16"/>
      <c r="J15" s="47">
        <v>1058.5</v>
      </c>
      <c r="K15" s="47">
        <v>711.75</v>
      </c>
      <c r="L15" s="56">
        <f t="shared" si="0"/>
        <v>-346.75</v>
      </c>
    </row>
    <row r="16" spans="1:12" s="17" customFormat="1" ht="30" customHeight="1">
      <c r="A16" s="52">
        <v>6</v>
      </c>
      <c r="B16" s="15" t="s">
        <v>74</v>
      </c>
      <c r="C16" s="30">
        <v>0</v>
      </c>
      <c r="D16" s="30">
        <f t="shared" si="1"/>
        <v>11190.06</v>
      </c>
      <c r="E16" s="30">
        <f t="shared" si="1"/>
        <v>8534.2</v>
      </c>
      <c r="F16" s="30">
        <f t="shared" si="2"/>
        <v>-2655.8599999999988</v>
      </c>
      <c r="G16" s="16"/>
      <c r="H16" s="16"/>
      <c r="J16" s="5">
        <f>SUM(J9:J15)</f>
        <v>1100592.6600000001</v>
      </c>
      <c r="K16" s="5">
        <f>SUM(K9:K15)</f>
        <v>901188.6399999999</v>
      </c>
      <c r="L16" s="5">
        <f>SUM(L9:L15)</f>
        <v>-199404.02000000016</v>
      </c>
    </row>
    <row r="17" spans="1:12" s="17" customFormat="1" ht="30" customHeight="1">
      <c r="A17" s="52">
        <v>7</v>
      </c>
      <c r="B17" s="15" t="s">
        <v>96</v>
      </c>
      <c r="C17" s="30">
        <v>0</v>
      </c>
      <c r="D17" s="30">
        <f t="shared" si="1"/>
        <v>1058.5</v>
      </c>
      <c r="E17" s="30">
        <f t="shared" si="1"/>
        <v>711.75</v>
      </c>
      <c r="F17" s="30">
        <f>C17-D17+E17</f>
        <v>-346.75</v>
      </c>
      <c r="G17" s="16"/>
      <c r="H17" s="16"/>
      <c r="J17" s="5"/>
      <c r="K17" s="5"/>
      <c r="L17" s="5"/>
    </row>
    <row r="18" spans="1:8" s="47" customFormat="1" ht="21" customHeight="1">
      <c r="A18" s="51"/>
      <c r="B18" s="18" t="s">
        <v>3</v>
      </c>
      <c r="C18" s="45">
        <f>SUM(C11:C16)</f>
        <v>0</v>
      </c>
      <c r="D18" s="45">
        <f>SUM(D11:D17)</f>
        <v>1100592.6600000001</v>
      </c>
      <c r="E18" s="45">
        <f>SUM(E11:E17)</f>
        <v>901188.6399999999</v>
      </c>
      <c r="F18" s="45">
        <f>SUM(F11:F17)</f>
        <v>-199404.02000000016</v>
      </c>
      <c r="G18" s="46"/>
      <c r="H18" s="46"/>
    </row>
    <row r="19" ht="19.5" customHeight="1"/>
    <row r="20" spans="1:12" ht="11.25" customHeight="1">
      <c r="A20" s="126" t="s">
        <v>17</v>
      </c>
      <c r="B20" s="126"/>
      <c r="C20" s="126"/>
      <c r="D20" s="126"/>
      <c r="E20" s="126"/>
      <c r="F20" s="126"/>
      <c r="L20" s="57"/>
    </row>
    <row r="21" spans="1:6" ht="15.75">
      <c r="A21" s="53"/>
      <c r="B21" s="53"/>
      <c r="C21" s="53"/>
      <c r="D21" s="53"/>
      <c r="E21" s="53"/>
      <c r="F21" s="53"/>
    </row>
    <row r="22" spans="1:8" ht="31.5">
      <c r="A22" s="14" t="s">
        <v>31</v>
      </c>
      <c r="B22" s="127" t="s">
        <v>4</v>
      </c>
      <c r="C22" s="127"/>
      <c r="D22" s="127"/>
      <c r="E22" s="127"/>
      <c r="F22" s="18" t="s">
        <v>10</v>
      </c>
      <c r="H22" s="5" t="s">
        <v>18</v>
      </c>
    </row>
    <row r="23" spans="1:8" ht="15.75">
      <c r="A23" s="20">
        <v>1</v>
      </c>
      <c r="B23" s="132" t="s">
        <v>5</v>
      </c>
      <c r="C23" s="132"/>
      <c r="D23" s="132"/>
      <c r="E23" s="132"/>
      <c r="F23" s="1">
        <f>I12</f>
        <v>209463.27999999997</v>
      </c>
      <c r="G23" s="19"/>
      <c r="H23" s="5">
        <f>D5</f>
        <v>7173.4</v>
      </c>
    </row>
    <row r="24" spans="1:15" ht="18" customHeight="1">
      <c r="A24" s="22">
        <v>2</v>
      </c>
      <c r="B24" s="128" t="s">
        <v>34</v>
      </c>
      <c r="C24" s="128"/>
      <c r="D24" s="128"/>
      <c r="E24" s="128"/>
      <c r="F24" s="2">
        <f>0.21*9*H23</f>
        <v>13557.725999999999</v>
      </c>
      <c r="G24" s="21"/>
      <c r="H24" s="5" t="s">
        <v>19</v>
      </c>
      <c r="I24" s="5" t="s">
        <v>20</v>
      </c>
      <c r="J24" s="5" t="s">
        <v>21</v>
      </c>
      <c r="K24" s="5" t="s">
        <v>85</v>
      </c>
      <c r="M24" s="125" t="s">
        <v>72</v>
      </c>
      <c r="N24" s="125"/>
      <c r="O24" s="125"/>
    </row>
    <row r="25" spans="1:15" ht="18" customHeight="1">
      <c r="A25" s="22">
        <v>3</v>
      </c>
      <c r="B25" s="128" t="s">
        <v>75</v>
      </c>
      <c r="C25" s="128"/>
      <c r="D25" s="128"/>
      <c r="E25" s="128"/>
      <c r="F25" s="2">
        <f>J26</f>
        <v>130440</v>
      </c>
      <c r="G25" s="21"/>
      <c r="I25" s="5">
        <v>7609</v>
      </c>
      <c r="J25" s="5">
        <v>10870</v>
      </c>
      <c r="M25" s="13" t="s">
        <v>80</v>
      </c>
      <c r="N25" s="13" t="s">
        <v>81</v>
      </c>
      <c r="O25" s="13" t="s">
        <v>82</v>
      </c>
    </row>
    <row r="26" spans="1:15" ht="18" customHeight="1">
      <c r="A26" s="22">
        <v>4</v>
      </c>
      <c r="B26" s="128" t="s">
        <v>22</v>
      </c>
      <c r="C26" s="128"/>
      <c r="D26" s="128"/>
      <c r="E26" s="128"/>
      <c r="F26" s="2">
        <f>I13</f>
        <v>146337.36</v>
      </c>
      <c r="G26" s="35" t="s">
        <v>42</v>
      </c>
      <c r="H26" s="5">
        <f>1720*1.202</f>
        <v>2067.44</v>
      </c>
      <c r="I26" s="5">
        <f>I25*12</f>
        <v>91308</v>
      </c>
      <c r="J26" s="5">
        <f>J25*12</f>
        <v>130440</v>
      </c>
      <c r="M26" s="13">
        <v>6580</v>
      </c>
      <c r="N26" s="13">
        <f>200*4</f>
        <v>800</v>
      </c>
      <c r="O26" s="13" t="s">
        <v>83</v>
      </c>
    </row>
    <row r="27" spans="1:15" ht="18" customHeight="1">
      <c r="A27" s="22">
        <v>5</v>
      </c>
      <c r="B27" s="128" t="s">
        <v>6</v>
      </c>
      <c r="C27" s="128"/>
      <c r="D27" s="128"/>
      <c r="E27" s="128"/>
      <c r="F27" s="2">
        <f>F28+F29+F34+F30+F32+F33+F31</f>
        <v>98406.15</v>
      </c>
      <c r="G27" s="21"/>
      <c r="M27" s="13">
        <f>2000*4</f>
        <v>8000</v>
      </c>
      <c r="N27" s="13">
        <f>200*4</f>
        <v>800</v>
      </c>
      <c r="O27" s="13" t="s">
        <v>84</v>
      </c>
    </row>
    <row r="28" spans="1:15" ht="16.5" customHeight="1">
      <c r="A28" s="22" t="s">
        <v>7</v>
      </c>
      <c r="B28" s="128" t="s">
        <v>23</v>
      </c>
      <c r="C28" s="128"/>
      <c r="D28" s="128"/>
      <c r="E28" s="128"/>
      <c r="F28" s="3">
        <f>F56+F66+F68+F70+F71+F74+F77+F78</f>
        <v>27293</v>
      </c>
      <c r="G28" s="9"/>
      <c r="H28" s="5" t="s">
        <v>47</v>
      </c>
      <c r="J28" s="5">
        <v>530</v>
      </c>
      <c r="M28" s="13">
        <f>2000*4</f>
        <v>8000</v>
      </c>
      <c r="N28" s="13">
        <f>200*4</f>
        <v>800</v>
      </c>
      <c r="O28" s="13" t="s">
        <v>86</v>
      </c>
    </row>
    <row r="29" spans="1:15" ht="16.5" customHeight="1">
      <c r="A29" s="22" t="s">
        <v>7</v>
      </c>
      <c r="B29" s="128" t="s">
        <v>24</v>
      </c>
      <c r="C29" s="128"/>
      <c r="D29" s="128"/>
      <c r="E29" s="128"/>
      <c r="F29" s="3">
        <f>F52+F53+F54+F58+F59+F60+F62+F63+F64+F67+F69+F72+F73+F75+F76</f>
        <v>34347</v>
      </c>
      <c r="G29" s="9"/>
      <c r="M29" s="13">
        <v>8000</v>
      </c>
      <c r="N29" s="13">
        <v>800</v>
      </c>
      <c r="O29" s="13" t="s">
        <v>87</v>
      </c>
    </row>
    <row r="30" spans="1:15" ht="16.5" customHeight="1">
      <c r="A30" s="22" t="s">
        <v>7</v>
      </c>
      <c r="B30" s="128" t="s">
        <v>69</v>
      </c>
      <c r="C30" s="128"/>
      <c r="D30" s="128"/>
      <c r="E30" s="128"/>
      <c r="F30" s="3">
        <f>F51</f>
        <v>22667.8</v>
      </c>
      <c r="G30" s="9"/>
      <c r="M30" s="13"/>
      <c r="N30" s="13"/>
      <c r="O30" s="13"/>
    </row>
    <row r="31" spans="1:15" ht="16.5" customHeight="1">
      <c r="A31" s="22" t="s">
        <v>7</v>
      </c>
      <c r="B31" s="128" t="s">
        <v>70</v>
      </c>
      <c r="C31" s="128"/>
      <c r="D31" s="128"/>
      <c r="E31" s="128"/>
      <c r="F31" s="3">
        <f>F50</f>
        <v>1701.56</v>
      </c>
      <c r="G31" s="9"/>
      <c r="M31" s="13"/>
      <c r="N31" s="13"/>
      <c r="O31" s="13"/>
    </row>
    <row r="32" spans="1:15" ht="16.5" customHeight="1">
      <c r="A32" s="22" t="s">
        <v>7</v>
      </c>
      <c r="B32" s="128" t="s">
        <v>66</v>
      </c>
      <c r="C32" s="128"/>
      <c r="D32" s="128"/>
      <c r="E32" s="128"/>
      <c r="F32" s="3">
        <f>F61</f>
        <v>523.79</v>
      </c>
      <c r="G32" s="9"/>
      <c r="M32" s="13"/>
      <c r="N32" s="13"/>
      <c r="O32" s="13"/>
    </row>
    <row r="33" spans="1:15" ht="16.5" customHeight="1">
      <c r="A33" s="22" t="s">
        <v>7</v>
      </c>
      <c r="B33" s="128" t="s">
        <v>67</v>
      </c>
      <c r="C33" s="128"/>
      <c r="D33" s="128"/>
      <c r="E33" s="128"/>
      <c r="F33" s="3">
        <f>F47</f>
        <v>2148</v>
      </c>
      <c r="G33" s="9"/>
      <c r="M33" s="13"/>
      <c r="N33" s="13"/>
      <c r="O33" s="13"/>
    </row>
    <row r="34" spans="1:15" ht="16.5" customHeight="1">
      <c r="A34" s="22" t="s">
        <v>7</v>
      </c>
      <c r="B34" s="128" t="s">
        <v>25</v>
      </c>
      <c r="C34" s="128"/>
      <c r="D34" s="128"/>
      <c r="E34" s="128"/>
      <c r="F34" s="3">
        <f>F48+F49+F55+F57+F65</f>
        <v>9725</v>
      </c>
      <c r="G34" s="9"/>
      <c r="M34" s="13"/>
      <c r="N34" s="13"/>
      <c r="O34" s="13"/>
    </row>
    <row r="35" spans="1:7" ht="16.5" customHeight="1">
      <c r="A35" s="22">
        <v>6</v>
      </c>
      <c r="B35" s="128" t="s">
        <v>60</v>
      </c>
      <c r="C35" s="128"/>
      <c r="D35" s="128"/>
      <c r="E35" s="128"/>
      <c r="F35" s="3">
        <f>530*10</f>
        <v>5300</v>
      </c>
      <c r="G35" s="9"/>
    </row>
    <row r="36" spans="1:7" ht="16.5" customHeight="1">
      <c r="A36" s="22">
        <v>7</v>
      </c>
      <c r="B36" s="128" t="s">
        <v>72</v>
      </c>
      <c r="C36" s="128"/>
      <c r="D36" s="128"/>
      <c r="E36" s="128"/>
      <c r="F36" s="3">
        <f>D13</f>
        <v>113682.62999999999</v>
      </c>
      <c r="G36" s="9"/>
    </row>
    <row r="37" spans="1:7" ht="17.25" customHeight="1">
      <c r="A37" s="22">
        <v>8</v>
      </c>
      <c r="B37" s="133" t="s">
        <v>35</v>
      </c>
      <c r="C37" s="133"/>
      <c r="D37" s="133"/>
      <c r="E37" s="133"/>
      <c r="F37" s="3">
        <f>D15</f>
        <v>62361.32</v>
      </c>
      <c r="G37" s="9"/>
    </row>
    <row r="38" spans="1:7" ht="17.25" customHeight="1">
      <c r="A38" s="22">
        <v>9</v>
      </c>
      <c r="B38" s="133" t="s">
        <v>36</v>
      </c>
      <c r="C38" s="133"/>
      <c r="D38" s="133"/>
      <c r="E38" s="133"/>
      <c r="F38" s="3">
        <f>D12</f>
        <v>140133.91</v>
      </c>
      <c r="G38" s="9"/>
    </row>
    <row r="39" spans="1:7" s="25" customFormat="1" ht="21" customHeight="1">
      <c r="A39" s="23"/>
      <c r="B39" s="155" t="s">
        <v>8</v>
      </c>
      <c r="C39" s="155"/>
      <c r="D39" s="155"/>
      <c r="E39" s="155"/>
      <c r="F39" s="24">
        <f>F23+F24+F26+F27+F38+F37+F36+F25+F35</f>
        <v>919682.3759999999</v>
      </c>
      <c r="G39" s="6"/>
    </row>
    <row r="41" spans="1:7" ht="18" customHeight="1">
      <c r="A41" s="39" t="s">
        <v>58</v>
      </c>
      <c r="B41" s="39"/>
      <c r="C41" s="39"/>
      <c r="D41" s="39"/>
      <c r="E41" s="39"/>
      <c r="F41" s="3">
        <f>D7+D18-F39</f>
        <v>180910.28400000022</v>
      </c>
      <c r="G41" s="5">
        <v>186303.28</v>
      </c>
    </row>
    <row r="42" spans="1:7" ht="20.25" customHeight="1">
      <c r="A42" s="39" t="s">
        <v>55</v>
      </c>
      <c r="B42" s="39"/>
      <c r="C42" s="39"/>
      <c r="D42" s="39"/>
      <c r="E42" s="39"/>
      <c r="F42" s="3">
        <f>F18</f>
        <v>-199404.02000000016</v>
      </c>
      <c r="G42" s="58">
        <v>-215781.1</v>
      </c>
    </row>
    <row r="43" spans="1:6" ht="18" customHeight="1">
      <c r="A43" s="40" t="s">
        <v>56</v>
      </c>
      <c r="B43" s="40"/>
      <c r="C43" s="40"/>
      <c r="D43" s="40"/>
      <c r="E43" s="40"/>
      <c r="F43" s="3">
        <f>F41+F42</f>
        <v>-18493.735999999946</v>
      </c>
    </row>
    <row r="44" ht="11.25" customHeight="1"/>
    <row r="46" spans="1:7" ht="15.75">
      <c r="A46" s="26" t="s">
        <v>14</v>
      </c>
      <c r="B46" s="26" t="s">
        <v>9</v>
      </c>
      <c r="C46" s="119" t="s">
        <v>26</v>
      </c>
      <c r="D46" s="120"/>
      <c r="E46" s="121"/>
      <c r="F46" s="26" t="s">
        <v>27</v>
      </c>
      <c r="G46" s="5" t="s">
        <v>68</v>
      </c>
    </row>
    <row r="47" spans="1:7" s="33" customFormat="1" ht="15">
      <c r="A47" s="31">
        <v>1</v>
      </c>
      <c r="B47" s="32" t="s">
        <v>54</v>
      </c>
      <c r="C47" s="135" t="s">
        <v>41</v>
      </c>
      <c r="D47" s="136"/>
      <c r="E47" s="137"/>
      <c r="F47" s="34">
        <f>179*12</f>
        <v>2148</v>
      </c>
      <c r="G47" s="33" t="s">
        <v>68</v>
      </c>
    </row>
    <row r="48" spans="1:7" s="33" customFormat="1" ht="15" customHeight="1">
      <c r="A48" s="36">
        <v>2</v>
      </c>
      <c r="B48" s="37">
        <v>42076</v>
      </c>
      <c r="C48" s="152" t="s">
        <v>43</v>
      </c>
      <c r="D48" s="153"/>
      <c r="E48" s="154"/>
      <c r="F48" s="43">
        <v>1375</v>
      </c>
      <c r="G48" s="33" t="s">
        <v>68</v>
      </c>
    </row>
    <row r="49" spans="1:7" s="33" customFormat="1" ht="15">
      <c r="A49" s="36">
        <v>3</v>
      </c>
      <c r="B49" s="37">
        <v>42079</v>
      </c>
      <c r="C49" s="152" t="s">
        <v>65</v>
      </c>
      <c r="D49" s="153"/>
      <c r="E49" s="154"/>
      <c r="F49" s="43">
        <v>739</v>
      </c>
      <c r="G49" s="33" t="s">
        <v>68</v>
      </c>
    </row>
    <row r="50" spans="1:7" s="33" customFormat="1" ht="15">
      <c r="A50" s="31">
        <v>4</v>
      </c>
      <c r="B50" s="37">
        <v>42093</v>
      </c>
      <c r="C50" s="152" t="s">
        <v>48</v>
      </c>
      <c r="D50" s="153"/>
      <c r="E50" s="154"/>
      <c r="F50" s="43">
        <v>1701.56</v>
      </c>
      <c r="G50" s="33" t="s">
        <v>68</v>
      </c>
    </row>
    <row r="51" spans="1:7" s="33" customFormat="1" ht="15">
      <c r="A51" s="36">
        <v>5</v>
      </c>
      <c r="B51" s="37">
        <v>42100</v>
      </c>
      <c r="C51" s="152" t="s">
        <v>49</v>
      </c>
      <c r="D51" s="153"/>
      <c r="E51" s="154"/>
      <c r="F51" s="43">
        <v>22667.8</v>
      </c>
      <c r="G51" s="33" t="s">
        <v>68</v>
      </c>
    </row>
    <row r="52" spans="1:7" s="33" customFormat="1" ht="15">
      <c r="A52" s="36">
        <v>6</v>
      </c>
      <c r="B52" s="37">
        <v>42100</v>
      </c>
      <c r="C52" s="152" t="s">
        <v>53</v>
      </c>
      <c r="D52" s="153"/>
      <c r="E52" s="154"/>
      <c r="F52" s="43">
        <v>786</v>
      </c>
      <c r="G52" s="33" t="s">
        <v>68</v>
      </c>
    </row>
    <row r="53" spans="1:7" s="33" customFormat="1" ht="15">
      <c r="A53" s="31">
        <v>7</v>
      </c>
      <c r="B53" s="37" t="s">
        <v>64</v>
      </c>
      <c r="C53" s="152" t="s">
        <v>63</v>
      </c>
      <c r="D53" s="153"/>
      <c r="E53" s="154"/>
      <c r="F53" s="43">
        <f>14469+10213</f>
        <v>24682</v>
      </c>
      <c r="G53" s="33" t="s">
        <v>68</v>
      </c>
    </row>
    <row r="54" spans="1:7" s="33" customFormat="1" ht="15">
      <c r="A54" s="36">
        <v>8</v>
      </c>
      <c r="B54" s="37">
        <v>42111</v>
      </c>
      <c r="C54" s="152" t="s">
        <v>62</v>
      </c>
      <c r="D54" s="153"/>
      <c r="E54" s="154"/>
      <c r="F54" s="43">
        <v>746</v>
      </c>
      <c r="G54" s="33" t="s">
        <v>68</v>
      </c>
    </row>
    <row r="55" spans="1:7" s="33" customFormat="1" ht="15">
      <c r="A55" s="36">
        <v>9</v>
      </c>
      <c r="B55" s="37">
        <v>42116</v>
      </c>
      <c r="C55" s="152" t="s">
        <v>43</v>
      </c>
      <c r="D55" s="153"/>
      <c r="E55" s="154"/>
      <c r="F55" s="43">
        <v>746</v>
      </c>
      <c r="G55" s="33" t="s">
        <v>68</v>
      </c>
    </row>
    <row r="56" spans="1:7" s="33" customFormat="1" ht="15">
      <c r="A56" s="31">
        <v>10</v>
      </c>
      <c r="B56" s="37">
        <v>42121</v>
      </c>
      <c r="C56" s="152" t="s">
        <v>51</v>
      </c>
      <c r="D56" s="153"/>
      <c r="E56" s="154"/>
      <c r="F56" s="43">
        <v>377</v>
      </c>
      <c r="G56" s="33" t="s">
        <v>68</v>
      </c>
    </row>
    <row r="57" spans="1:7" s="33" customFormat="1" ht="15">
      <c r="A57" s="36">
        <v>11</v>
      </c>
      <c r="B57" s="37">
        <v>42129</v>
      </c>
      <c r="C57" s="146" t="s">
        <v>61</v>
      </c>
      <c r="D57" s="147"/>
      <c r="E57" s="148"/>
      <c r="F57" s="43">
        <v>4255</v>
      </c>
      <c r="G57" s="33" t="s">
        <v>68</v>
      </c>
    </row>
    <row r="58" spans="1:7" s="33" customFormat="1" ht="15">
      <c r="A58" s="36">
        <v>12</v>
      </c>
      <c r="B58" s="37">
        <v>42131</v>
      </c>
      <c r="C58" s="146" t="s">
        <v>62</v>
      </c>
      <c r="D58" s="147"/>
      <c r="E58" s="148"/>
      <c r="F58" s="43">
        <v>39</v>
      </c>
      <c r="G58" s="33" t="s">
        <v>68</v>
      </c>
    </row>
    <row r="59" spans="1:7" s="33" customFormat="1" ht="15">
      <c r="A59" s="31">
        <v>13</v>
      </c>
      <c r="B59" s="37">
        <v>42142</v>
      </c>
      <c r="C59" s="146" t="s">
        <v>39</v>
      </c>
      <c r="D59" s="147"/>
      <c r="E59" s="148"/>
      <c r="F59" s="43">
        <v>984</v>
      </c>
      <c r="G59" s="33" t="s">
        <v>68</v>
      </c>
    </row>
    <row r="60" spans="1:7" s="33" customFormat="1" ht="15">
      <c r="A60" s="36">
        <v>14</v>
      </c>
      <c r="B60" s="37">
        <v>42158</v>
      </c>
      <c r="C60" s="149" t="s">
        <v>39</v>
      </c>
      <c r="D60" s="150"/>
      <c r="E60" s="151"/>
      <c r="F60" s="44">
        <f>982+684</f>
        <v>1666</v>
      </c>
      <c r="G60" s="33" t="s">
        <v>68</v>
      </c>
    </row>
    <row r="61" spans="1:7" s="33" customFormat="1" ht="15">
      <c r="A61" s="36">
        <v>15</v>
      </c>
      <c r="B61" s="37">
        <v>42185</v>
      </c>
      <c r="C61" s="149" t="s">
        <v>50</v>
      </c>
      <c r="D61" s="150"/>
      <c r="E61" s="151"/>
      <c r="F61" s="44">
        <v>523.79</v>
      </c>
      <c r="G61" s="33" t="s">
        <v>68</v>
      </c>
    </row>
    <row r="62" spans="1:7" s="33" customFormat="1" ht="15">
      <c r="A62" s="31">
        <v>16</v>
      </c>
      <c r="B62" s="37">
        <v>42187</v>
      </c>
      <c r="C62" s="146" t="s">
        <v>62</v>
      </c>
      <c r="D62" s="147"/>
      <c r="E62" s="148"/>
      <c r="F62" s="38">
        <v>102</v>
      </c>
      <c r="G62" s="33" t="s">
        <v>68</v>
      </c>
    </row>
    <row r="63" spans="1:7" s="33" customFormat="1" ht="30" customHeight="1">
      <c r="A63" s="36">
        <v>17</v>
      </c>
      <c r="B63" s="37">
        <v>42242</v>
      </c>
      <c r="C63" s="152" t="s">
        <v>40</v>
      </c>
      <c r="D63" s="153"/>
      <c r="E63" s="154"/>
      <c r="F63" s="43">
        <v>351</v>
      </c>
      <c r="G63" s="33" t="s">
        <v>68</v>
      </c>
    </row>
    <row r="64" spans="1:7" s="33" customFormat="1" ht="15">
      <c r="A64" s="36">
        <v>18</v>
      </c>
      <c r="B64" s="37">
        <v>42248</v>
      </c>
      <c r="C64" s="152" t="s">
        <v>39</v>
      </c>
      <c r="D64" s="153"/>
      <c r="E64" s="154"/>
      <c r="F64" s="43">
        <v>246</v>
      </c>
      <c r="G64" s="33" t="s">
        <v>68</v>
      </c>
    </row>
    <row r="65" spans="1:7" s="33" customFormat="1" ht="15">
      <c r="A65" s="31">
        <v>19</v>
      </c>
      <c r="B65" s="37">
        <v>42279</v>
      </c>
      <c r="C65" s="146" t="s">
        <v>43</v>
      </c>
      <c r="D65" s="147"/>
      <c r="E65" s="148"/>
      <c r="F65" s="38">
        <f>781*2+1048</f>
        <v>2610</v>
      </c>
      <c r="G65" s="33" t="s">
        <v>68</v>
      </c>
    </row>
    <row r="66" spans="1:7" s="33" customFormat="1" ht="31.5" customHeight="1">
      <c r="A66" s="36">
        <v>20</v>
      </c>
      <c r="B66" s="37">
        <v>42282</v>
      </c>
      <c r="C66" s="146" t="s">
        <v>44</v>
      </c>
      <c r="D66" s="147"/>
      <c r="E66" s="148"/>
      <c r="F66" s="38">
        <v>14235</v>
      </c>
      <c r="G66" s="33" t="s">
        <v>68</v>
      </c>
    </row>
    <row r="67" spans="1:7" s="33" customFormat="1" ht="15">
      <c r="A67" s="36">
        <v>21</v>
      </c>
      <c r="B67" s="37">
        <v>42283</v>
      </c>
      <c r="C67" s="146" t="s">
        <v>46</v>
      </c>
      <c r="D67" s="147"/>
      <c r="E67" s="148"/>
      <c r="F67" s="38">
        <f>1071+752</f>
        <v>1823</v>
      </c>
      <c r="G67" s="33" t="s">
        <v>68</v>
      </c>
    </row>
    <row r="68" spans="1:7" s="33" customFormat="1" ht="31.5" customHeight="1">
      <c r="A68" s="31">
        <v>22</v>
      </c>
      <c r="B68" s="37">
        <v>42290</v>
      </c>
      <c r="C68" s="146" t="s">
        <v>45</v>
      </c>
      <c r="D68" s="147"/>
      <c r="E68" s="148"/>
      <c r="F68" s="38">
        <v>1312</v>
      </c>
      <c r="G68" s="33" t="s">
        <v>68</v>
      </c>
    </row>
    <row r="69" spans="1:7" s="33" customFormat="1" ht="15">
      <c r="A69" s="36">
        <v>23</v>
      </c>
      <c r="B69" s="37">
        <v>42306</v>
      </c>
      <c r="C69" s="146" t="s">
        <v>46</v>
      </c>
      <c r="D69" s="147"/>
      <c r="E69" s="148"/>
      <c r="F69" s="38">
        <v>702</v>
      </c>
      <c r="G69" s="33" t="s">
        <v>68</v>
      </c>
    </row>
    <row r="70" spans="1:7" s="33" customFormat="1" ht="15">
      <c r="A70" s="36">
        <v>24</v>
      </c>
      <c r="B70" s="37">
        <v>42311</v>
      </c>
      <c r="C70" s="146" t="s">
        <v>51</v>
      </c>
      <c r="D70" s="147"/>
      <c r="E70" s="148"/>
      <c r="F70" s="38">
        <v>654</v>
      </c>
      <c r="G70" s="33" t="s">
        <v>68</v>
      </c>
    </row>
    <row r="71" spans="1:7" s="33" customFormat="1" ht="15">
      <c r="A71" s="31">
        <v>25</v>
      </c>
      <c r="B71" s="37">
        <v>42324</v>
      </c>
      <c r="C71" s="146" t="s">
        <v>51</v>
      </c>
      <c r="D71" s="147"/>
      <c r="E71" s="148"/>
      <c r="F71" s="38">
        <v>377</v>
      </c>
      <c r="G71" s="33" t="s">
        <v>68</v>
      </c>
    </row>
    <row r="72" spans="1:7" s="33" customFormat="1" ht="15">
      <c r="A72" s="36">
        <v>26</v>
      </c>
      <c r="B72" s="37">
        <v>42324</v>
      </c>
      <c r="C72" s="146" t="s">
        <v>53</v>
      </c>
      <c r="D72" s="147"/>
      <c r="E72" s="148"/>
      <c r="F72" s="38">
        <v>559</v>
      </c>
      <c r="G72" s="33" t="s">
        <v>68</v>
      </c>
    </row>
    <row r="73" spans="1:7" s="33" customFormat="1" ht="15">
      <c r="A73" s="36">
        <v>27</v>
      </c>
      <c r="B73" s="37">
        <v>42325</v>
      </c>
      <c r="C73" s="146" t="s">
        <v>39</v>
      </c>
      <c r="D73" s="147"/>
      <c r="E73" s="148"/>
      <c r="F73" s="38">
        <v>492</v>
      </c>
      <c r="G73" s="33" t="s">
        <v>68</v>
      </c>
    </row>
    <row r="74" spans="1:7" s="33" customFormat="1" ht="15">
      <c r="A74" s="31">
        <v>28</v>
      </c>
      <c r="B74" s="37">
        <v>42327</v>
      </c>
      <c r="C74" s="146" t="s">
        <v>52</v>
      </c>
      <c r="D74" s="147"/>
      <c r="E74" s="148"/>
      <c r="F74" s="38">
        <v>1942</v>
      </c>
      <c r="G74" s="33" t="s">
        <v>68</v>
      </c>
    </row>
    <row r="75" spans="1:7" s="33" customFormat="1" ht="15">
      <c r="A75" s="36">
        <v>29</v>
      </c>
      <c r="B75" s="37">
        <v>42328</v>
      </c>
      <c r="C75" s="146" t="s">
        <v>39</v>
      </c>
      <c r="D75" s="147"/>
      <c r="E75" s="148"/>
      <c r="F75" s="38">
        <v>492</v>
      </c>
      <c r="G75" s="33" t="s">
        <v>68</v>
      </c>
    </row>
    <row r="76" spans="1:7" s="33" customFormat="1" ht="15">
      <c r="A76" s="36">
        <v>30</v>
      </c>
      <c r="B76" s="37">
        <v>42340</v>
      </c>
      <c r="C76" s="146" t="s">
        <v>57</v>
      </c>
      <c r="D76" s="147"/>
      <c r="E76" s="148"/>
      <c r="F76" s="38">
        <v>677</v>
      </c>
      <c r="G76" s="33" t="s">
        <v>68</v>
      </c>
    </row>
    <row r="77" spans="1:7" s="33" customFormat="1" ht="30" customHeight="1">
      <c r="A77" s="31">
        <v>31</v>
      </c>
      <c r="B77" s="37">
        <v>42354</v>
      </c>
      <c r="C77" s="146" t="s">
        <v>59</v>
      </c>
      <c r="D77" s="147"/>
      <c r="E77" s="148"/>
      <c r="F77" s="38">
        <v>7500</v>
      </c>
      <c r="G77" s="33" t="s">
        <v>68</v>
      </c>
    </row>
    <row r="78" spans="1:7" s="33" customFormat="1" ht="30" customHeight="1">
      <c r="A78" s="36">
        <v>32</v>
      </c>
      <c r="B78" s="37">
        <v>42366</v>
      </c>
      <c r="C78" s="146" t="s">
        <v>45</v>
      </c>
      <c r="D78" s="147"/>
      <c r="E78" s="148"/>
      <c r="F78" s="38">
        <v>896</v>
      </c>
      <c r="G78" s="33" t="s">
        <v>68</v>
      </c>
    </row>
    <row r="79" spans="1:6" s="25" customFormat="1" ht="15.75">
      <c r="A79" s="115" t="s">
        <v>28</v>
      </c>
      <c r="B79" s="115"/>
      <c r="C79" s="115"/>
      <c r="D79" s="115"/>
      <c r="E79" s="115"/>
      <c r="F79" s="27">
        <f>SUM(F47:F78)</f>
        <v>98406.15</v>
      </c>
    </row>
  </sheetData>
  <sheetProtection selectLockedCells="1" selectUnlockedCells="1"/>
  <mergeCells count="56">
    <mergeCell ref="A1:F1"/>
    <mergeCell ref="A2:F2"/>
    <mergeCell ref="A20:F20"/>
    <mergeCell ref="B22:E22"/>
    <mergeCell ref="B23:E23"/>
    <mergeCell ref="B24:E24"/>
    <mergeCell ref="M24:O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C46:E46"/>
    <mergeCell ref="C47:E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8:E78"/>
    <mergeCell ref="A79:E79"/>
    <mergeCell ref="C72:E72"/>
    <mergeCell ref="C73:E73"/>
    <mergeCell ref="C74:E74"/>
    <mergeCell ref="C75:E75"/>
    <mergeCell ref="C76:E76"/>
    <mergeCell ref="C77:E77"/>
  </mergeCells>
  <printOptions horizontalCentered="1" verticalCentered="1"/>
  <pageMargins left="0.7480314960629921" right="0.7480314960629921" top="0.1968503937007874" bottom="0.1968503937007874" header="0" footer="0"/>
  <pageSetup horizontalDpi="300" verticalDpi="300" orientation="portrait" paperSize="9" r:id="rId1"/>
  <rowBreaks count="1" manualBreakCount="1">
    <brk id="4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O78"/>
  <sheetViews>
    <sheetView view="pageBreakPreview" zoomScaleSheetLayoutView="100" zoomScalePageLayoutView="0" workbookViewId="0" topLeftCell="A24">
      <selection activeCell="F25" sqref="F25"/>
    </sheetView>
  </sheetViews>
  <sheetFormatPr defaultColWidth="9.140625" defaultRowHeight="12.75" outlineLevelRow="1"/>
  <cols>
    <col min="1" max="1" width="4.421875" style="8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1.7109375" style="5" customWidth="1"/>
    <col min="8" max="8" width="9.57421875" style="5" bestFit="1" customWidth="1"/>
    <col min="9" max="9" width="11.421875" style="5" customWidth="1"/>
    <col min="10" max="10" width="15.7109375" style="5" customWidth="1"/>
    <col min="11" max="11" width="15.8515625" style="5" customWidth="1"/>
    <col min="12" max="12" width="16.57421875" style="5" customWidth="1"/>
    <col min="13" max="16384" width="9.140625" style="5" customWidth="1"/>
  </cols>
  <sheetData>
    <row r="1" spans="1:7" ht="15.75">
      <c r="A1" s="126" t="s">
        <v>29</v>
      </c>
      <c r="B1" s="126"/>
      <c r="C1" s="126"/>
      <c r="D1" s="126"/>
      <c r="E1" s="126"/>
      <c r="F1" s="126"/>
      <c r="G1" s="48"/>
    </row>
    <row r="2" spans="1:8" ht="16.5" customHeight="1">
      <c r="A2" s="126" t="s">
        <v>38</v>
      </c>
      <c r="B2" s="126"/>
      <c r="C2" s="126"/>
      <c r="D2" s="126"/>
      <c r="E2" s="126"/>
      <c r="F2" s="126"/>
      <c r="G2" s="6"/>
      <c r="H2" s="7"/>
    </row>
    <row r="3" ht="16.5" customHeight="1"/>
    <row r="4" spans="1:6" ht="16.5" customHeight="1" hidden="1" outlineLevel="1">
      <c r="A4" s="50" t="s">
        <v>79</v>
      </c>
      <c r="C4" s="9"/>
      <c r="D4" s="9"/>
      <c r="E4" s="9"/>
      <c r="F4" s="9"/>
    </row>
    <row r="5" spans="1:6" ht="16.5" customHeight="1" hidden="1" outlineLevel="1">
      <c r="A5" s="9" t="s">
        <v>11</v>
      </c>
      <c r="C5" s="9"/>
      <c r="D5" s="9">
        <v>7173.4</v>
      </c>
      <c r="E5" s="9" t="s">
        <v>12</v>
      </c>
      <c r="F5" s="9"/>
    </row>
    <row r="6" ht="16.5" customHeight="1" collapsed="1">
      <c r="I6" s="29"/>
    </row>
    <row r="7" spans="1:6" ht="16.5" customHeight="1">
      <c r="A7" s="6" t="s">
        <v>76</v>
      </c>
      <c r="C7" s="6"/>
      <c r="D7" s="10">
        <v>0</v>
      </c>
      <c r="E7" s="6" t="s">
        <v>78</v>
      </c>
      <c r="F7" s="6"/>
    </row>
    <row r="8" spans="1:6" ht="16.5" customHeight="1">
      <c r="A8" s="6" t="s">
        <v>77</v>
      </c>
      <c r="C8" s="9"/>
      <c r="D8" s="11">
        <v>0</v>
      </c>
      <c r="E8" s="9" t="s">
        <v>78</v>
      </c>
      <c r="F8" s="9"/>
    </row>
    <row r="9" spans="2:6" ht="16.5" customHeight="1">
      <c r="B9" s="9"/>
      <c r="C9" s="9"/>
      <c r="D9" s="9"/>
      <c r="E9" s="9"/>
      <c r="F9" s="12" t="s">
        <v>13</v>
      </c>
    </row>
    <row r="10" spans="1:6" s="8" customFormat="1" ht="28.5" customHeight="1">
      <c r="A10" s="4" t="s">
        <v>14</v>
      </c>
      <c r="B10" s="13" t="s">
        <v>15</v>
      </c>
      <c r="C10" s="14" t="s">
        <v>71</v>
      </c>
      <c r="D10" s="14" t="s">
        <v>0</v>
      </c>
      <c r="E10" s="14" t="s">
        <v>16</v>
      </c>
      <c r="F10" s="14" t="s">
        <v>30</v>
      </c>
    </row>
    <row r="11" spans="1:12" s="17" customFormat="1" ht="30" customHeight="1">
      <c r="A11" s="4">
        <v>1</v>
      </c>
      <c r="B11" s="15" t="s">
        <v>1</v>
      </c>
      <c r="C11" s="30">
        <v>0</v>
      </c>
      <c r="D11" s="30">
        <f>258811.76+2347.8+388646.49</f>
        <v>649806.05</v>
      </c>
      <c r="E11" s="30">
        <f>296403.54+225253.21+4187.26</f>
        <v>525844.01</v>
      </c>
      <c r="F11" s="30">
        <f aca="true" t="shared" si="0" ref="F11:F16">C11-D11+E11</f>
        <v>-123962.04000000004</v>
      </c>
      <c r="G11" s="5" t="s">
        <v>32</v>
      </c>
      <c r="H11" s="5">
        <v>9.21</v>
      </c>
      <c r="I11" s="29">
        <f>H11*10*H22</f>
        <v>660670.14</v>
      </c>
      <c r="J11" s="54">
        <f>388646.49+258811.76-4187.26+2347.8-1434.33</f>
        <v>644184.4600000001</v>
      </c>
      <c r="K11" s="55">
        <f>296403.54+234509.88</f>
        <v>530913.4199999999</v>
      </c>
      <c r="L11" s="56">
        <f>K11-J11</f>
        <v>-113271.04000000015</v>
      </c>
    </row>
    <row r="12" spans="1:12" s="17" customFormat="1" ht="15.75">
      <c r="A12" s="4">
        <v>2</v>
      </c>
      <c r="B12" s="15" t="s">
        <v>2</v>
      </c>
      <c r="C12" s="30">
        <v>0</v>
      </c>
      <c r="D12" s="30">
        <f>84357.15+56176.03+509.6</f>
        <v>141042.78</v>
      </c>
      <c r="E12" s="30">
        <f>64335.51+49203.33+908.87</f>
        <v>114447.70999999999</v>
      </c>
      <c r="F12" s="30">
        <f t="shared" si="0"/>
        <v>-26595.070000000007</v>
      </c>
      <c r="G12" s="9" t="s">
        <v>33</v>
      </c>
      <c r="H12" s="5">
        <v>2.92</v>
      </c>
      <c r="I12" s="28">
        <f>H12*10*H22</f>
        <v>209463.27999999997</v>
      </c>
      <c r="J12" s="54">
        <f>84357.15+56176.03-908.87+509.6</f>
        <v>140133.91</v>
      </c>
      <c r="K12" s="54">
        <f>64335.51+51212.51</f>
        <v>115548.02</v>
      </c>
      <c r="L12" s="56">
        <f aca="true" t="shared" si="1" ref="L12:L17">K12-J12</f>
        <v>-24585.89</v>
      </c>
    </row>
    <row r="13" spans="1:12" s="17" customFormat="1" ht="29.25" customHeight="1">
      <c r="A13" s="4">
        <v>3</v>
      </c>
      <c r="B13" s="15" t="s">
        <v>72</v>
      </c>
      <c r="C13" s="30">
        <v>0</v>
      </c>
      <c r="D13" s="30">
        <f>67627.9+47800.93+512.2</f>
        <v>115941.02999999998</v>
      </c>
      <c r="E13" s="30">
        <f>51173.18+40150.07+3692.73</f>
        <v>95015.98</v>
      </c>
      <c r="F13" s="30">
        <f t="shared" si="0"/>
        <v>-20925.04999999999</v>
      </c>
      <c r="G13" s="9" t="s">
        <v>37</v>
      </c>
      <c r="H13" s="5">
        <v>2.04</v>
      </c>
      <c r="I13" s="28">
        <f>H13*10*H22</f>
        <v>146337.36</v>
      </c>
      <c r="J13" s="54">
        <f>67627.9+47800.93-3692.73+512.2+1434.33</f>
        <v>113682.62999999999</v>
      </c>
      <c r="K13" s="54">
        <f>51173.18+42094.25</f>
        <v>93267.43</v>
      </c>
      <c r="L13" s="56">
        <f t="shared" si="1"/>
        <v>-20415.199999999997</v>
      </c>
    </row>
    <row r="14" spans="1:12" s="17" customFormat="1" ht="15.75">
      <c r="A14" s="4">
        <v>4</v>
      </c>
      <c r="B14" s="15" t="s">
        <v>73</v>
      </c>
      <c r="C14" s="30">
        <v>0</v>
      </c>
      <c r="D14" s="30">
        <f>77041.86+51304.43+465.4</f>
        <v>128811.69</v>
      </c>
      <c r="E14" s="30">
        <f>58545.21+44936.4+829.91</f>
        <v>104311.52</v>
      </c>
      <c r="F14" s="30">
        <f t="shared" si="0"/>
        <v>-24500.17</v>
      </c>
      <c r="G14" s="16"/>
      <c r="H14" s="16"/>
      <c r="J14" s="54">
        <f>77041.86+51304.43-829.91+465.4</f>
        <v>127981.78</v>
      </c>
      <c r="K14" s="54">
        <f>58545.21+46771.35</f>
        <v>105316.56</v>
      </c>
      <c r="L14" s="56">
        <f t="shared" si="1"/>
        <v>-22665.22</v>
      </c>
    </row>
    <row r="15" spans="1:12" s="17" customFormat="1" ht="30" customHeight="1">
      <c r="A15" s="4">
        <v>5</v>
      </c>
      <c r="B15" s="15" t="s">
        <v>35</v>
      </c>
      <c r="C15" s="30">
        <v>0</v>
      </c>
      <c r="D15" s="30">
        <f>43347.09+19014.24+327.92</f>
        <v>62689.25</v>
      </c>
      <c r="E15" s="30">
        <f>30263.52+14954.89+327.93</f>
        <v>45546.340000000004</v>
      </c>
      <c r="F15" s="30">
        <f t="shared" si="0"/>
        <v>-17142.909999999996</v>
      </c>
      <c r="G15" s="16"/>
      <c r="H15" s="16"/>
      <c r="J15" s="54">
        <f>43347.09+19014.24-327.93+327.92</f>
        <v>62361.32</v>
      </c>
      <c r="K15" s="54">
        <f>30263.52+16633.74</f>
        <v>46897.26</v>
      </c>
      <c r="L15" s="56">
        <f t="shared" si="1"/>
        <v>-15464.059999999998</v>
      </c>
    </row>
    <row r="16" spans="1:12" s="17" customFormat="1" ht="30" customHeight="1">
      <c r="A16" s="4">
        <v>6</v>
      </c>
      <c r="B16" s="15" t="s">
        <v>74</v>
      </c>
      <c r="C16" s="30">
        <v>0</v>
      </c>
      <c r="D16" s="30">
        <v>11190.06</v>
      </c>
      <c r="E16" s="30">
        <v>8534.2</v>
      </c>
      <c r="F16" s="30">
        <f t="shared" si="0"/>
        <v>-2655.8599999999988</v>
      </c>
      <c r="G16" s="16"/>
      <c r="H16" s="16"/>
      <c r="J16" s="54">
        <v>11190.06</v>
      </c>
      <c r="K16" s="54">
        <v>8534.2</v>
      </c>
      <c r="L16" s="56">
        <f t="shared" si="1"/>
        <v>-2655.8599999999988</v>
      </c>
    </row>
    <row r="17" spans="1:12" s="47" customFormat="1" ht="21" customHeight="1">
      <c r="A17" s="49"/>
      <c r="B17" s="18" t="s">
        <v>3</v>
      </c>
      <c r="C17" s="45">
        <f>SUM(C11:C16)</f>
        <v>0</v>
      </c>
      <c r="D17" s="45">
        <f>SUM(D11:D16)</f>
        <v>1109480.86</v>
      </c>
      <c r="E17" s="45">
        <f>SUM(E11:E16)</f>
        <v>893699.7599999999</v>
      </c>
      <c r="F17" s="45">
        <f>SUM(F11:F16)</f>
        <v>-215781.1</v>
      </c>
      <c r="G17" s="46"/>
      <c r="H17" s="46"/>
      <c r="I17" s="47" t="s">
        <v>95</v>
      </c>
      <c r="J17" s="47">
        <v>1058.5</v>
      </c>
      <c r="K17" s="47">
        <v>711.75</v>
      </c>
      <c r="L17" s="56">
        <f t="shared" si="1"/>
        <v>-346.75</v>
      </c>
    </row>
    <row r="18" spans="10:12" ht="19.5" customHeight="1">
      <c r="J18" s="5">
        <f>SUM(J11:J17)</f>
        <v>1100592.6600000001</v>
      </c>
      <c r="K18" s="5">
        <f>SUM(K11:K17)</f>
        <v>901188.6399999999</v>
      </c>
      <c r="L18" s="5">
        <f>SUM(L11:L17)</f>
        <v>-199404.02000000016</v>
      </c>
    </row>
    <row r="19" spans="1:12" ht="11.25" customHeight="1">
      <c r="A19" s="126" t="s">
        <v>17</v>
      </c>
      <c r="B19" s="126"/>
      <c r="C19" s="126"/>
      <c r="D19" s="126"/>
      <c r="E19" s="126"/>
      <c r="F19" s="126"/>
      <c r="L19" s="57"/>
    </row>
    <row r="20" spans="1:6" ht="15.75">
      <c r="A20" s="48"/>
      <c r="B20" s="48"/>
      <c r="C20" s="48"/>
      <c r="D20" s="48"/>
      <c r="E20" s="48"/>
      <c r="F20" s="48"/>
    </row>
    <row r="21" spans="1:8" ht="31.5">
      <c r="A21" s="14" t="s">
        <v>31</v>
      </c>
      <c r="B21" s="127" t="s">
        <v>4</v>
      </c>
      <c r="C21" s="127"/>
      <c r="D21" s="127"/>
      <c r="E21" s="127"/>
      <c r="F21" s="18" t="s">
        <v>10</v>
      </c>
      <c r="H21" s="5" t="s">
        <v>18</v>
      </c>
    </row>
    <row r="22" spans="1:8" ht="15.75">
      <c r="A22" s="20">
        <v>1</v>
      </c>
      <c r="B22" s="132" t="s">
        <v>5</v>
      </c>
      <c r="C22" s="132"/>
      <c r="D22" s="132"/>
      <c r="E22" s="132"/>
      <c r="F22" s="1">
        <f>I12</f>
        <v>209463.27999999997</v>
      </c>
      <c r="G22" s="19"/>
      <c r="H22" s="5">
        <f>D5</f>
        <v>7173.4</v>
      </c>
    </row>
    <row r="23" spans="1:15" ht="18" customHeight="1">
      <c r="A23" s="22">
        <v>2</v>
      </c>
      <c r="B23" s="128" t="s">
        <v>34</v>
      </c>
      <c r="C23" s="128"/>
      <c r="D23" s="128"/>
      <c r="E23" s="128"/>
      <c r="F23" s="2">
        <f>0.21*9*H22</f>
        <v>13557.725999999999</v>
      </c>
      <c r="G23" s="21"/>
      <c r="H23" s="5" t="s">
        <v>19</v>
      </c>
      <c r="I23" s="5" t="s">
        <v>20</v>
      </c>
      <c r="J23" s="5" t="s">
        <v>21</v>
      </c>
      <c r="K23" s="5" t="s">
        <v>85</v>
      </c>
      <c r="M23" s="125" t="s">
        <v>72</v>
      </c>
      <c r="N23" s="125"/>
      <c r="O23" s="125"/>
    </row>
    <row r="24" spans="1:15" ht="18" customHeight="1">
      <c r="A24" s="22">
        <v>3</v>
      </c>
      <c r="B24" s="128" t="s">
        <v>75</v>
      </c>
      <c r="C24" s="128"/>
      <c r="D24" s="128"/>
      <c r="E24" s="128"/>
      <c r="F24" s="2">
        <f>J25</f>
        <v>130440</v>
      </c>
      <c r="G24" s="21"/>
      <c r="I24" s="5">
        <v>7609</v>
      </c>
      <c r="J24" s="5">
        <v>10870</v>
      </c>
      <c r="M24" s="13" t="s">
        <v>80</v>
      </c>
      <c r="N24" s="13" t="s">
        <v>81</v>
      </c>
      <c r="O24" s="13" t="s">
        <v>82</v>
      </c>
    </row>
    <row r="25" spans="1:15" ht="18" customHeight="1">
      <c r="A25" s="22">
        <v>4</v>
      </c>
      <c r="B25" s="128" t="s">
        <v>22</v>
      </c>
      <c r="C25" s="128"/>
      <c r="D25" s="128"/>
      <c r="E25" s="128"/>
      <c r="F25" s="2">
        <f>I13</f>
        <v>146337.36</v>
      </c>
      <c r="G25" s="35" t="s">
        <v>42</v>
      </c>
      <c r="H25" s="5">
        <f>1720*1.202</f>
        <v>2067.44</v>
      </c>
      <c r="I25" s="5">
        <f>I24*12</f>
        <v>91308</v>
      </c>
      <c r="J25" s="5">
        <f>J24*12</f>
        <v>130440</v>
      </c>
      <c r="M25" s="13">
        <v>6580</v>
      </c>
      <c r="N25" s="13">
        <f>200*4</f>
        <v>800</v>
      </c>
      <c r="O25" s="13" t="s">
        <v>83</v>
      </c>
    </row>
    <row r="26" spans="1:15" ht="18" customHeight="1">
      <c r="A26" s="22">
        <v>5</v>
      </c>
      <c r="B26" s="128" t="s">
        <v>6</v>
      </c>
      <c r="C26" s="128"/>
      <c r="D26" s="128"/>
      <c r="E26" s="128"/>
      <c r="F26" s="2">
        <f>F27+F28+F33+F29+F31+F32+F30</f>
        <v>98406.15</v>
      </c>
      <c r="G26" s="21"/>
      <c r="M26" s="13">
        <f>2000*4</f>
        <v>8000</v>
      </c>
      <c r="N26" s="13">
        <f>200*4</f>
        <v>800</v>
      </c>
      <c r="O26" s="13" t="s">
        <v>84</v>
      </c>
    </row>
    <row r="27" spans="1:15" ht="16.5" customHeight="1">
      <c r="A27" s="22" t="s">
        <v>7</v>
      </c>
      <c r="B27" s="128" t="s">
        <v>23</v>
      </c>
      <c r="C27" s="128"/>
      <c r="D27" s="128"/>
      <c r="E27" s="128"/>
      <c r="F27" s="3">
        <f>F55+F65+F67+F69+F70+F73+F76+F77</f>
        <v>27293</v>
      </c>
      <c r="G27" s="9"/>
      <c r="H27" s="5" t="s">
        <v>47</v>
      </c>
      <c r="J27" s="5">
        <v>530</v>
      </c>
      <c r="M27" s="13">
        <f>2000*4</f>
        <v>8000</v>
      </c>
      <c r="N27" s="13">
        <f>200*4</f>
        <v>800</v>
      </c>
      <c r="O27" s="13" t="s">
        <v>86</v>
      </c>
    </row>
    <row r="28" spans="1:15" ht="16.5" customHeight="1">
      <c r="A28" s="22" t="s">
        <v>7</v>
      </c>
      <c r="B28" s="128" t="s">
        <v>24</v>
      </c>
      <c r="C28" s="128"/>
      <c r="D28" s="128"/>
      <c r="E28" s="128"/>
      <c r="F28" s="3">
        <f>F51+F52+F53+F57+F58+F59+F61+F62+F63+F66+F68+F71+F72+F74+F75</f>
        <v>34347</v>
      </c>
      <c r="G28" s="9"/>
      <c r="M28" s="13">
        <v>8000</v>
      </c>
      <c r="N28" s="13">
        <v>800</v>
      </c>
      <c r="O28" s="13" t="s">
        <v>87</v>
      </c>
    </row>
    <row r="29" spans="1:15" ht="16.5" customHeight="1">
      <c r="A29" s="22" t="s">
        <v>7</v>
      </c>
      <c r="B29" s="128" t="s">
        <v>69</v>
      </c>
      <c r="C29" s="128"/>
      <c r="D29" s="128"/>
      <c r="E29" s="128"/>
      <c r="F29" s="3">
        <f>F50</f>
        <v>22667.8</v>
      </c>
      <c r="G29" s="9"/>
      <c r="M29" s="13"/>
      <c r="N29" s="13"/>
      <c r="O29" s="13"/>
    </row>
    <row r="30" spans="1:15" ht="16.5" customHeight="1">
      <c r="A30" s="22" t="s">
        <v>7</v>
      </c>
      <c r="B30" s="128" t="s">
        <v>70</v>
      </c>
      <c r="C30" s="128"/>
      <c r="D30" s="128"/>
      <c r="E30" s="128"/>
      <c r="F30" s="3">
        <f>F49</f>
        <v>1701.56</v>
      </c>
      <c r="G30" s="9"/>
      <c r="M30" s="13"/>
      <c r="N30" s="13"/>
      <c r="O30" s="13"/>
    </row>
    <row r="31" spans="1:15" ht="16.5" customHeight="1">
      <c r="A31" s="22" t="s">
        <v>7</v>
      </c>
      <c r="B31" s="128" t="s">
        <v>66</v>
      </c>
      <c r="C31" s="128"/>
      <c r="D31" s="128"/>
      <c r="E31" s="128"/>
      <c r="F31" s="3">
        <f>F60</f>
        <v>523.79</v>
      </c>
      <c r="G31" s="9"/>
      <c r="M31" s="13"/>
      <c r="N31" s="13"/>
      <c r="O31" s="13"/>
    </row>
    <row r="32" spans="1:15" ht="16.5" customHeight="1">
      <c r="A32" s="22" t="s">
        <v>7</v>
      </c>
      <c r="B32" s="128" t="s">
        <v>67</v>
      </c>
      <c r="C32" s="128"/>
      <c r="D32" s="128"/>
      <c r="E32" s="128"/>
      <c r="F32" s="3">
        <f>F46</f>
        <v>2148</v>
      </c>
      <c r="G32" s="9"/>
      <c r="M32" s="13"/>
      <c r="N32" s="13"/>
      <c r="O32" s="13"/>
    </row>
    <row r="33" spans="1:15" ht="16.5" customHeight="1">
      <c r="A33" s="22" t="s">
        <v>7</v>
      </c>
      <c r="B33" s="128" t="s">
        <v>25</v>
      </c>
      <c r="C33" s="128"/>
      <c r="D33" s="128"/>
      <c r="E33" s="128"/>
      <c r="F33" s="3">
        <f>F47+F48+F54+F56+F64</f>
        <v>9725</v>
      </c>
      <c r="G33" s="9"/>
      <c r="M33" s="13"/>
      <c r="N33" s="13"/>
      <c r="O33" s="13"/>
    </row>
    <row r="34" spans="1:7" ht="16.5" customHeight="1">
      <c r="A34" s="22">
        <v>6</v>
      </c>
      <c r="B34" s="128" t="s">
        <v>60</v>
      </c>
      <c r="C34" s="128"/>
      <c r="D34" s="128"/>
      <c r="E34" s="128"/>
      <c r="F34" s="3">
        <f>530*10</f>
        <v>5300</v>
      </c>
      <c r="G34" s="9"/>
    </row>
    <row r="35" spans="1:7" ht="16.5" customHeight="1">
      <c r="A35" s="22">
        <v>7</v>
      </c>
      <c r="B35" s="128" t="s">
        <v>72</v>
      </c>
      <c r="C35" s="128"/>
      <c r="D35" s="128"/>
      <c r="E35" s="128"/>
      <c r="F35" s="3">
        <f>D13</f>
        <v>115941.02999999998</v>
      </c>
      <c r="G35" s="9"/>
    </row>
    <row r="36" spans="1:7" ht="17.25" customHeight="1">
      <c r="A36" s="22">
        <v>8</v>
      </c>
      <c r="B36" s="133" t="s">
        <v>35</v>
      </c>
      <c r="C36" s="133"/>
      <c r="D36" s="133"/>
      <c r="E36" s="133"/>
      <c r="F36" s="3">
        <f>D15</f>
        <v>62689.25</v>
      </c>
      <c r="G36" s="9"/>
    </row>
    <row r="37" spans="1:7" ht="17.25" customHeight="1">
      <c r="A37" s="22">
        <v>9</v>
      </c>
      <c r="B37" s="133" t="s">
        <v>36</v>
      </c>
      <c r="C37" s="133"/>
      <c r="D37" s="133"/>
      <c r="E37" s="133"/>
      <c r="F37" s="3">
        <f>D12</f>
        <v>141042.78</v>
      </c>
      <c r="G37" s="9"/>
    </row>
    <row r="38" spans="1:7" s="25" customFormat="1" ht="21" customHeight="1">
      <c r="A38" s="23"/>
      <c r="B38" s="155" t="s">
        <v>8</v>
      </c>
      <c r="C38" s="155"/>
      <c r="D38" s="155"/>
      <c r="E38" s="155"/>
      <c r="F38" s="24">
        <f>F22+F23+F25+F26+F37+F36+F35+F24+F34</f>
        <v>923177.576</v>
      </c>
      <c r="G38" s="6"/>
    </row>
    <row r="40" spans="1:7" ht="18" customHeight="1">
      <c r="A40" s="39" t="s">
        <v>58</v>
      </c>
      <c r="B40" s="39"/>
      <c r="C40" s="39"/>
      <c r="D40" s="39"/>
      <c r="E40" s="39"/>
      <c r="F40" s="3">
        <f>D7+D17-F38</f>
        <v>186303.2840000001</v>
      </c>
      <c r="G40" s="5">
        <v>186303.28</v>
      </c>
    </row>
    <row r="41" spans="1:7" ht="20.25" customHeight="1">
      <c r="A41" s="39" t="s">
        <v>55</v>
      </c>
      <c r="B41" s="39"/>
      <c r="C41" s="39"/>
      <c r="D41" s="39"/>
      <c r="E41" s="39"/>
      <c r="F41" s="3">
        <f>F17</f>
        <v>-215781.1</v>
      </c>
      <c r="G41" s="58">
        <v>-215781.1</v>
      </c>
    </row>
    <row r="42" spans="1:6" ht="18" customHeight="1">
      <c r="A42" s="40" t="s">
        <v>56</v>
      </c>
      <c r="B42" s="40"/>
      <c r="C42" s="40"/>
      <c r="D42" s="40"/>
      <c r="E42" s="40"/>
      <c r="F42" s="3">
        <f>F40+F41</f>
        <v>-29477.815999999904</v>
      </c>
    </row>
    <row r="43" ht="11.25" customHeight="1"/>
    <row r="45" spans="1:7" ht="15.75">
      <c r="A45" s="26" t="s">
        <v>14</v>
      </c>
      <c r="B45" s="26" t="s">
        <v>9</v>
      </c>
      <c r="C45" s="119" t="s">
        <v>26</v>
      </c>
      <c r="D45" s="120"/>
      <c r="E45" s="121"/>
      <c r="F45" s="26" t="s">
        <v>27</v>
      </c>
      <c r="G45" s="5" t="s">
        <v>68</v>
      </c>
    </row>
    <row r="46" spans="1:7" s="33" customFormat="1" ht="15">
      <c r="A46" s="31">
        <v>1</v>
      </c>
      <c r="B46" s="32" t="s">
        <v>54</v>
      </c>
      <c r="C46" s="135" t="s">
        <v>41</v>
      </c>
      <c r="D46" s="136"/>
      <c r="E46" s="137"/>
      <c r="F46" s="34">
        <f>179*12</f>
        <v>2148</v>
      </c>
      <c r="G46" s="33" t="s">
        <v>68</v>
      </c>
    </row>
    <row r="47" spans="1:7" s="33" customFormat="1" ht="15" customHeight="1">
      <c r="A47" s="36">
        <v>2</v>
      </c>
      <c r="B47" s="37">
        <v>42076</v>
      </c>
      <c r="C47" s="152" t="s">
        <v>43</v>
      </c>
      <c r="D47" s="153"/>
      <c r="E47" s="154"/>
      <c r="F47" s="43">
        <v>1375</v>
      </c>
      <c r="G47" s="33" t="s">
        <v>68</v>
      </c>
    </row>
    <row r="48" spans="1:7" s="33" customFormat="1" ht="15">
      <c r="A48" s="36">
        <v>3</v>
      </c>
      <c r="B48" s="37">
        <v>42079</v>
      </c>
      <c r="C48" s="152" t="s">
        <v>65</v>
      </c>
      <c r="D48" s="153"/>
      <c r="E48" s="154"/>
      <c r="F48" s="43">
        <v>739</v>
      </c>
      <c r="G48" s="33" t="s">
        <v>68</v>
      </c>
    </row>
    <row r="49" spans="1:7" s="33" customFormat="1" ht="15">
      <c r="A49" s="31">
        <v>4</v>
      </c>
      <c r="B49" s="37">
        <v>42093</v>
      </c>
      <c r="C49" s="152" t="s">
        <v>48</v>
      </c>
      <c r="D49" s="153"/>
      <c r="E49" s="154"/>
      <c r="F49" s="43">
        <v>1701.56</v>
      </c>
      <c r="G49" s="33" t="s">
        <v>68</v>
      </c>
    </row>
    <row r="50" spans="1:7" s="33" customFormat="1" ht="15">
      <c r="A50" s="36">
        <v>5</v>
      </c>
      <c r="B50" s="37">
        <v>42100</v>
      </c>
      <c r="C50" s="152" t="s">
        <v>49</v>
      </c>
      <c r="D50" s="153"/>
      <c r="E50" s="154"/>
      <c r="F50" s="43">
        <v>22667.8</v>
      </c>
      <c r="G50" s="33" t="s">
        <v>68</v>
      </c>
    </row>
    <row r="51" spans="1:7" s="33" customFormat="1" ht="15">
      <c r="A51" s="36">
        <v>6</v>
      </c>
      <c r="B51" s="37">
        <v>42100</v>
      </c>
      <c r="C51" s="152" t="s">
        <v>53</v>
      </c>
      <c r="D51" s="153"/>
      <c r="E51" s="154"/>
      <c r="F51" s="43">
        <v>786</v>
      </c>
      <c r="G51" s="33" t="s">
        <v>68</v>
      </c>
    </row>
    <row r="52" spans="1:7" s="33" customFormat="1" ht="15">
      <c r="A52" s="31">
        <v>7</v>
      </c>
      <c r="B52" s="37" t="s">
        <v>64</v>
      </c>
      <c r="C52" s="152" t="s">
        <v>63</v>
      </c>
      <c r="D52" s="153"/>
      <c r="E52" s="154"/>
      <c r="F52" s="43">
        <f>14469+10213</f>
        <v>24682</v>
      </c>
      <c r="G52" s="33" t="s">
        <v>68</v>
      </c>
    </row>
    <row r="53" spans="1:7" s="33" customFormat="1" ht="15">
      <c r="A53" s="36">
        <v>8</v>
      </c>
      <c r="B53" s="37">
        <v>42111</v>
      </c>
      <c r="C53" s="152" t="s">
        <v>62</v>
      </c>
      <c r="D53" s="153"/>
      <c r="E53" s="154"/>
      <c r="F53" s="43">
        <v>746</v>
      </c>
      <c r="G53" s="33" t="s">
        <v>68</v>
      </c>
    </row>
    <row r="54" spans="1:7" s="33" customFormat="1" ht="15">
      <c r="A54" s="36">
        <v>9</v>
      </c>
      <c r="B54" s="37">
        <v>42116</v>
      </c>
      <c r="C54" s="152" t="s">
        <v>43</v>
      </c>
      <c r="D54" s="153"/>
      <c r="E54" s="154"/>
      <c r="F54" s="43">
        <v>746</v>
      </c>
      <c r="G54" s="33" t="s">
        <v>68</v>
      </c>
    </row>
    <row r="55" spans="1:7" s="33" customFormat="1" ht="15">
      <c r="A55" s="31">
        <v>10</v>
      </c>
      <c r="B55" s="37">
        <v>42121</v>
      </c>
      <c r="C55" s="152" t="s">
        <v>51</v>
      </c>
      <c r="D55" s="153"/>
      <c r="E55" s="154"/>
      <c r="F55" s="43">
        <v>377</v>
      </c>
      <c r="G55" s="33" t="s">
        <v>68</v>
      </c>
    </row>
    <row r="56" spans="1:7" s="33" customFormat="1" ht="15">
      <c r="A56" s="36">
        <v>11</v>
      </c>
      <c r="B56" s="37">
        <v>42129</v>
      </c>
      <c r="C56" s="146" t="s">
        <v>61</v>
      </c>
      <c r="D56" s="147"/>
      <c r="E56" s="148"/>
      <c r="F56" s="43">
        <v>4255</v>
      </c>
      <c r="G56" s="33" t="s">
        <v>68</v>
      </c>
    </row>
    <row r="57" spans="1:7" s="33" customFormat="1" ht="15">
      <c r="A57" s="36">
        <v>12</v>
      </c>
      <c r="B57" s="37">
        <v>42131</v>
      </c>
      <c r="C57" s="146" t="s">
        <v>62</v>
      </c>
      <c r="D57" s="147"/>
      <c r="E57" s="148"/>
      <c r="F57" s="43">
        <v>39</v>
      </c>
      <c r="G57" s="33" t="s">
        <v>68</v>
      </c>
    </row>
    <row r="58" spans="1:7" s="33" customFormat="1" ht="15">
      <c r="A58" s="31">
        <v>13</v>
      </c>
      <c r="B58" s="37">
        <v>42142</v>
      </c>
      <c r="C58" s="146" t="s">
        <v>39</v>
      </c>
      <c r="D58" s="147"/>
      <c r="E58" s="148"/>
      <c r="F58" s="43">
        <v>984</v>
      </c>
      <c r="G58" s="33" t="s">
        <v>68</v>
      </c>
    </row>
    <row r="59" spans="1:7" s="33" customFormat="1" ht="15">
      <c r="A59" s="36">
        <v>14</v>
      </c>
      <c r="B59" s="37">
        <v>42158</v>
      </c>
      <c r="C59" s="149" t="s">
        <v>39</v>
      </c>
      <c r="D59" s="150"/>
      <c r="E59" s="151"/>
      <c r="F59" s="44">
        <f>982+684</f>
        <v>1666</v>
      </c>
      <c r="G59" s="33" t="s">
        <v>68</v>
      </c>
    </row>
    <row r="60" spans="1:7" s="33" customFormat="1" ht="15">
      <c r="A60" s="36">
        <v>15</v>
      </c>
      <c r="B60" s="37">
        <v>42185</v>
      </c>
      <c r="C60" s="149" t="s">
        <v>50</v>
      </c>
      <c r="D60" s="150"/>
      <c r="E60" s="151"/>
      <c r="F60" s="44">
        <v>523.79</v>
      </c>
      <c r="G60" s="33" t="s">
        <v>68</v>
      </c>
    </row>
    <row r="61" spans="1:7" s="33" customFormat="1" ht="15">
      <c r="A61" s="31">
        <v>16</v>
      </c>
      <c r="B61" s="37">
        <v>42187</v>
      </c>
      <c r="C61" s="146" t="s">
        <v>62</v>
      </c>
      <c r="D61" s="147"/>
      <c r="E61" s="148"/>
      <c r="F61" s="38">
        <v>102</v>
      </c>
      <c r="G61" s="33" t="s">
        <v>68</v>
      </c>
    </row>
    <row r="62" spans="1:7" s="33" customFormat="1" ht="30" customHeight="1">
      <c r="A62" s="36">
        <v>17</v>
      </c>
      <c r="B62" s="37">
        <v>42242</v>
      </c>
      <c r="C62" s="152" t="s">
        <v>40</v>
      </c>
      <c r="D62" s="153"/>
      <c r="E62" s="154"/>
      <c r="F62" s="43">
        <v>351</v>
      </c>
      <c r="G62" s="33" t="s">
        <v>68</v>
      </c>
    </row>
    <row r="63" spans="1:7" s="33" customFormat="1" ht="15">
      <c r="A63" s="36">
        <v>18</v>
      </c>
      <c r="B63" s="37">
        <v>42248</v>
      </c>
      <c r="C63" s="152" t="s">
        <v>39</v>
      </c>
      <c r="D63" s="153"/>
      <c r="E63" s="154"/>
      <c r="F63" s="43">
        <v>246</v>
      </c>
      <c r="G63" s="33" t="s">
        <v>68</v>
      </c>
    </row>
    <row r="64" spans="1:7" s="33" customFormat="1" ht="15">
      <c r="A64" s="31">
        <v>19</v>
      </c>
      <c r="B64" s="37">
        <v>42279</v>
      </c>
      <c r="C64" s="146" t="s">
        <v>43</v>
      </c>
      <c r="D64" s="147"/>
      <c r="E64" s="148"/>
      <c r="F64" s="38">
        <f>781*2+1048</f>
        <v>2610</v>
      </c>
      <c r="G64" s="33" t="s">
        <v>68</v>
      </c>
    </row>
    <row r="65" spans="1:7" s="33" customFormat="1" ht="31.5" customHeight="1">
      <c r="A65" s="36">
        <v>20</v>
      </c>
      <c r="B65" s="37">
        <v>42282</v>
      </c>
      <c r="C65" s="146" t="s">
        <v>44</v>
      </c>
      <c r="D65" s="147"/>
      <c r="E65" s="148"/>
      <c r="F65" s="38">
        <v>14235</v>
      </c>
      <c r="G65" s="33" t="s">
        <v>68</v>
      </c>
    </row>
    <row r="66" spans="1:7" s="33" customFormat="1" ht="15">
      <c r="A66" s="36">
        <v>21</v>
      </c>
      <c r="B66" s="37">
        <v>42283</v>
      </c>
      <c r="C66" s="146" t="s">
        <v>46</v>
      </c>
      <c r="D66" s="147"/>
      <c r="E66" s="148"/>
      <c r="F66" s="38">
        <f>1071+752</f>
        <v>1823</v>
      </c>
      <c r="G66" s="33" t="s">
        <v>68</v>
      </c>
    </row>
    <row r="67" spans="1:7" s="33" customFormat="1" ht="31.5" customHeight="1">
      <c r="A67" s="31">
        <v>22</v>
      </c>
      <c r="B67" s="37">
        <v>42290</v>
      </c>
      <c r="C67" s="146" t="s">
        <v>45</v>
      </c>
      <c r="D67" s="147"/>
      <c r="E67" s="148"/>
      <c r="F67" s="38">
        <v>1312</v>
      </c>
      <c r="G67" s="33" t="s">
        <v>68</v>
      </c>
    </row>
    <row r="68" spans="1:7" s="33" customFormat="1" ht="15">
      <c r="A68" s="36">
        <v>23</v>
      </c>
      <c r="B68" s="37">
        <v>42306</v>
      </c>
      <c r="C68" s="146" t="s">
        <v>46</v>
      </c>
      <c r="D68" s="147"/>
      <c r="E68" s="148"/>
      <c r="F68" s="38">
        <v>702</v>
      </c>
      <c r="G68" s="33" t="s">
        <v>68</v>
      </c>
    </row>
    <row r="69" spans="1:7" s="33" customFormat="1" ht="15">
      <c r="A69" s="36">
        <v>24</v>
      </c>
      <c r="B69" s="37">
        <v>42311</v>
      </c>
      <c r="C69" s="146" t="s">
        <v>51</v>
      </c>
      <c r="D69" s="147"/>
      <c r="E69" s="148"/>
      <c r="F69" s="38">
        <v>654</v>
      </c>
      <c r="G69" s="33" t="s">
        <v>68</v>
      </c>
    </row>
    <row r="70" spans="1:7" s="33" customFormat="1" ht="15">
      <c r="A70" s="31">
        <v>25</v>
      </c>
      <c r="B70" s="37">
        <v>42324</v>
      </c>
      <c r="C70" s="146" t="s">
        <v>51</v>
      </c>
      <c r="D70" s="147"/>
      <c r="E70" s="148"/>
      <c r="F70" s="38">
        <v>377</v>
      </c>
      <c r="G70" s="33" t="s">
        <v>68</v>
      </c>
    </row>
    <row r="71" spans="1:7" s="33" customFormat="1" ht="15">
      <c r="A71" s="36">
        <v>26</v>
      </c>
      <c r="B71" s="37">
        <v>42324</v>
      </c>
      <c r="C71" s="146" t="s">
        <v>53</v>
      </c>
      <c r="D71" s="147"/>
      <c r="E71" s="148"/>
      <c r="F71" s="38">
        <v>559</v>
      </c>
      <c r="G71" s="33" t="s">
        <v>68</v>
      </c>
    </row>
    <row r="72" spans="1:7" s="33" customFormat="1" ht="15">
      <c r="A72" s="36">
        <v>27</v>
      </c>
      <c r="B72" s="37">
        <v>42325</v>
      </c>
      <c r="C72" s="146" t="s">
        <v>39</v>
      </c>
      <c r="D72" s="147"/>
      <c r="E72" s="148"/>
      <c r="F72" s="38">
        <v>492</v>
      </c>
      <c r="G72" s="33" t="s">
        <v>68</v>
      </c>
    </row>
    <row r="73" spans="1:7" s="33" customFormat="1" ht="15">
      <c r="A73" s="31">
        <v>28</v>
      </c>
      <c r="B73" s="37">
        <v>42327</v>
      </c>
      <c r="C73" s="146" t="s">
        <v>52</v>
      </c>
      <c r="D73" s="147"/>
      <c r="E73" s="148"/>
      <c r="F73" s="38">
        <v>1942</v>
      </c>
      <c r="G73" s="33" t="s">
        <v>68</v>
      </c>
    </row>
    <row r="74" spans="1:7" s="33" customFormat="1" ht="15">
      <c r="A74" s="36">
        <v>29</v>
      </c>
      <c r="B74" s="37">
        <v>42328</v>
      </c>
      <c r="C74" s="146" t="s">
        <v>39</v>
      </c>
      <c r="D74" s="147"/>
      <c r="E74" s="148"/>
      <c r="F74" s="38">
        <v>492</v>
      </c>
      <c r="G74" s="33" t="s">
        <v>68</v>
      </c>
    </row>
    <row r="75" spans="1:7" s="33" customFormat="1" ht="15">
      <c r="A75" s="36">
        <v>30</v>
      </c>
      <c r="B75" s="37">
        <v>42340</v>
      </c>
      <c r="C75" s="146" t="s">
        <v>57</v>
      </c>
      <c r="D75" s="147"/>
      <c r="E75" s="148"/>
      <c r="F75" s="38">
        <v>677</v>
      </c>
      <c r="G75" s="33" t="s">
        <v>68</v>
      </c>
    </row>
    <row r="76" spans="1:7" s="33" customFormat="1" ht="30" customHeight="1">
      <c r="A76" s="31">
        <v>31</v>
      </c>
      <c r="B76" s="37">
        <v>42354</v>
      </c>
      <c r="C76" s="146" t="s">
        <v>59</v>
      </c>
      <c r="D76" s="147"/>
      <c r="E76" s="148"/>
      <c r="F76" s="38">
        <v>7500</v>
      </c>
      <c r="G76" s="33" t="s">
        <v>68</v>
      </c>
    </row>
    <row r="77" spans="1:7" s="33" customFormat="1" ht="30" customHeight="1">
      <c r="A77" s="36">
        <v>32</v>
      </c>
      <c r="B77" s="37">
        <v>42366</v>
      </c>
      <c r="C77" s="146" t="s">
        <v>45</v>
      </c>
      <c r="D77" s="147"/>
      <c r="E77" s="148"/>
      <c r="F77" s="38">
        <v>896</v>
      </c>
      <c r="G77" s="33" t="s">
        <v>68</v>
      </c>
    </row>
    <row r="78" spans="1:6" s="25" customFormat="1" ht="15.75">
      <c r="A78" s="115" t="s">
        <v>28</v>
      </c>
      <c r="B78" s="115"/>
      <c r="C78" s="115"/>
      <c r="D78" s="115"/>
      <c r="E78" s="115"/>
      <c r="F78" s="27">
        <f>SUM(F46:F77)</f>
        <v>98406.15</v>
      </c>
    </row>
  </sheetData>
  <sheetProtection selectLockedCells="1" selectUnlockedCells="1"/>
  <mergeCells count="56">
    <mergeCell ref="A78:E78"/>
    <mergeCell ref="C72:E72"/>
    <mergeCell ref="C73:E73"/>
    <mergeCell ref="C74:E74"/>
    <mergeCell ref="C75:E75"/>
    <mergeCell ref="C76:E76"/>
    <mergeCell ref="C77:E77"/>
    <mergeCell ref="C66:E66"/>
    <mergeCell ref="C67:E67"/>
    <mergeCell ref="C68:E68"/>
    <mergeCell ref="C69:E69"/>
    <mergeCell ref="C70:E70"/>
    <mergeCell ref="C71:E71"/>
    <mergeCell ref="C60:E60"/>
    <mergeCell ref="C61:E61"/>
    <mergeCell ref="C62:E62"/>
    <mergeCell ref="C63:E63"/>
    <mergeCell ref="C64:E64"/>
    <mergeCell ref="C65:E65"/>
    <mergeCell ref="C54:E54"/>
    <mergeCell ref="C55:E55"/>
    <mergeCell ref="C56:E56"/>
    <mergeCell ref="C57:E57"/>
    <mergeCell ref="C58:E58"/>
    <mergeCell ref="C59:E59"/>
    <mergeCell ref="C48:E48"/>
    <mergeCell ref="C49:E49"/>
    <mergeCell ref="C50:E50"/>
    <mergeCell ref="C51:E51"/>
    <mergeCell ref="C52:E52"/>
    <mergeCell ref="C53:E53"/>
    <mergeCell ref="B36:E36"/>
    <mergeCell ref="B37:E37"/>
    <mergeCell ref="B38:E38"/>
    <mergeCell ref="C45:E45"/>
    <mergeCell ref="C46:E46"/>
    <mergeCell ref="C47:E47"/>
    <mergeCell ref="B30:E30"/>
    <mergeCell ref="B31:E31"/>
    <mergeCell ref="B32:E32"/>
    <mergeCell ref="B33:E33"/>
    <mergeCell ref="B34:E34"/>
    <mergeCell ref="B35:E35"/>
    <mergeCell ref="B24:E24"/>
    <mergeCell ref="B25:E25"/>
    <mergeCell ref="B26:E26"/>
    <mergeCell ref="B27:E27"/>
    <mergeCell ref="B28:E28"/>
    <mergeCell ref="B29:E29"/>
    <mergeCell ref="M23:O23"/>
    <mergeCell ref="A1:F1"/>
    <mergeCell ref="A2:F2"/>
    <mergeCell ref="A19:F19"/>
    <mergeCell ref="B21:E21"/>
    <mergeCell ref="B22:E22"/>
    <mergeCell ref="B23:E23"/>
  </mergeCells>
  <printOptions horizontalCentered="1" verticalCentered="1"/>
  <pageMargins left="0.7480314960629921" right="0.7480314960629921" top="0.1968503937007874" bottom="0.1968503937007874" header="0" footer="0"/>
  <pageSetup horizontalDpi="300" verticalDpi="300" orientation="portrait" paperSize="9" r:id="rId1"/>
  <rowBreaks count="1" manualBreakCount="1">
    <brk id="44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J78"/>
  <sheetViews>
    <sheetView view="pageBreakPreview" zoomScaleSheetLayoutView="100" zoomScalePageLayoutView="0" workbookViewId="0" topLeftCell="A1">
      <selection activeCell="B34" sqref="B34:E34"/>
    </sheetView>
  </sheetViews>
  <sheetFormatPr defaultColWidth="9.140625" defaultRowHeight="12.75" outlineLevelRow="1"/>
  <cols>
    <col min="1" max="1" width="4.421875" style="8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126" t="s">
        <v>29</v>
      </c>
      <c r="B1" s="126"/>
      <c r="C1" s="126"/>
      <c r="D1" s="126"/>
      <c r="E1" s="126"/>
      <c r="F1" s="126"/>
      <c r="G1" s="42"/>
    </row>
    <row r="2" spans="1:8" ht="16.5" customHeight="1">
      <c r="A2" s="126" t="s">
        <v>38</v>
      </c>
      <c r="B2" s="126"/>
      <c r="C2" s="126"/>
      <c r="D2" s="126"/>
      <c r="E2" s="126"/>
      <c r="F2" s="126"/>
      <c r="G2" s="6"/>
      <c r="H2" s="7"/>
    </row>
    <row r="3" ht="16.5" customHeight="1"/>
    <row r="4" spans="1:6" ht="16.5" customHeight="1" outlineLevel="1">
      <c r="A4" s="9"/>
      <c r="C4" s="9"/>
      <c r="D4" s="9"/>
      <c r="E4" s="9"/>
      <c r="F4" s="9"/>
    </row>
    <row r="5" spans="1:6" ht="16.5" customHeight="1" outlineLevel="1">
      <c r="A5" s="9" t="s">
        <v>11</v>
      </c>
      <c r="C5" s="9"/>
      <c r="D5" s="9">
        <v>7173.4</v>
      </c>
      <c r="E5" s="9" t="s">
        <v>12</v>
      </c>
      <c r="F5" s="9"/>
    </row>
    <row r="6" ht="16.5" customHeight="1">
      <c r="I6" s="29"/>
    </row>
    <row r="7" spans="1:6" ht="16.5" customHeight="1">
      <c r="A7" s="6"/>
      <c r="C7" s="6"/>
      <c r="D7" s="10"/>
      <c r="E7" s="6"/>
      <c r="F7" s="6"/>
    </row>
    <row r="8" spans="1:6" ht="16.5" customHeight="1">
      <c r="A8" s="6"/>
      <c r="C8" s="9"/>
      <c r="D8" s="11"/>
      <c r="E8" s="9"/>
      <c r="F8" s="9"/>
    </row>
    <row r="9" spans="2:6" ht="16.5" customHeight="1">
      <c r="B9" s="9"/>
      <c r="C9" s="9"/>
      <c r="D9" s="9"/>
      <c r="E9" s="9"/>
      <c r="F9" s="12" t="s">
        <v>13</v>
      </c>
    </row>
    <row r="10" spans="1:6" s="8" customFormat="1" ht="28.5" customHeight="1">
      <c r="A10" s="4" t="s">
        <v>14</v>
      </c>
      <c r="B10" s="13" t="s">
        <v>15</v>
      </c>
      <c r="C10" s="14" t="s">
        <v>71</v>
      </c>
      <c r="D10" s="14" t="s">
        <v>0</v>
      </c>
      <c r="E10" s="14" t="s">
        <v>16</v>
      </c>
      <c r="F10" s="14" t="s">
        <v>30</v>
      </c>
    </row>
    <row r="11" spans="1:9" s="17" customFormat="1" ht="30" customHeight="1">
      <c r="A11" s="4">
        <v>1</v>
      </c>
      <c r="B11" s="15" t="s">
        <v>1</v>
      </c>
      <c r="C11" s="30">
        <v>0</v>
      </c>
      <c r="D11" s="30">
        <f>255537.97+338646.49</f>
        <v>594184.46</v>
      </c>
      <c r="E11" s="30">
        <f>296463.54+234509.88</f>
        <v>530973.4199999999</v>
      </c>
      <c r="F11" s="30">
        <f aca="true" t="shared" si="0" ref="F11:F16">C11-D11+E11</f>
        <v>-63211.04000000004</v>
      </c>
      <c r="G11" s="5" t="s">
        <v>32</v>
      </c>
      <c r="H11" s="5">
        <v>9.21</v>
      </c>
      <c r="I11" s="29">
        <f>H11*10*H22</f>
        <v>660670.14</v>
      </c>
    </row>
    <row r="12" spans="1:9" s="17" customFormat="1" ht="15.75">
      <c r="A12" s="4">
        <v>2</v>
      </c>
      <c r="B12" s="15" t="s">
        <v>2</v>
      </c>
      <c r="C12" s="30">
        <v>0</v>
      </c>
      <c r="D12" s="30">
        <f>84357.15+55776.76</f>
        <v>140133.91</v>
      </c>
      <c r="E12" s="30">
        <f>64335.51+51212.51</f>
        <v>115548.02</v>
      </c>
      <c r="F12" s="30">
        <f t="shared" si="0"/>
        <v>-24585.89</v>
      </c>
      <c r="G12" s="9" t="s">
        <v>33</v>
      </c>
      <c r="H12" s="5">
        <v>2.92</v>
      </c>
      <c r="I12" s="28">
        <f>H12*10*H22</f>
        <v>209463.27999999997</v>
      </c>
    </row>
    <row r="13" spans="1:9" s="17" customFormat="1" ht="29.25" customHeight="1">
      <c r="A13" s="4">
        <v>3</v>
      </c>
      <c r="B13" s="15" t="s">
        <v>72</v>
      </c>
      <c r="C13" s="30">
        <v>0</v>
      </c>
      <c r="D13" s="30">
        <f>44620.4+67627.9</f>
        <v>112248.29999999999</v>
      </c>
      <c r="E13" s="30">
        <f>51173.18+42094.25</f>
        <v>93267.43</v>
      </c>
      <c r="F13" s="30">
        <f t="shared" si="0"/>
        <v>-18980.869999999995</v>
      </c>
      <c r="G13" s="9" t="s">
        <v>37</v>
      </c>
      <c r="H13" s="5">
        <v>2.04</v>
      </c>
      <c r="I13" s="28">
        <f>H13*10*H22</f>
        <v>146337.36</v>
      </c>
    </row>
    <row r="14" spans="1:8" s="17" customFormat="1" ht="15.75">
      <c r="A14" s="4">
        <v>4</v>
      </c>
      <c r="B14" s="15" t="s">
        <v>73</v>
      </c>
      <c r="C14" s="30">
        <v>0</v>
      </c>
      <c r="D14" s="30">
        <f>77041.86+50936.92</f>
        <v>127978.78</v>
      </c>
      <c r="E14" s="30">
        <f>58545.21+46771.35</f>
        <v>105316.56</v>
      </c>
      <c r="F14" s="30">
        <f t="shared" si="0"/>
        <v>-22662.22</v>
      </c>
      <c r="G14" s="16"/>
      <c r="H14" s="16"/>
    </row>
    <row r="15" spans="1:8" s="17" customFormat="1" ht="30" customHeight="1">
      <c r="A15" s="4">
        <v>5</v>
      </c>
      <c r="B15" s="15" t="s">
        <v>35</v>
      </c>
      <c r="C15" s="30">
        <v>0</v>
      </c>
      <c r="D15" s="30">
        <f>43347.09+19014.23</f>
        <v>62361.31999999999</v>
      </c>
      <c r="E15" s="30">
        <f>30263.52+16633.74</f>
        <v>46897.26</v>
      </c>
      <c r="F15" s="30">
        <f t="shared" si="0"/>
        <v>-15464.05999999999</v>
      </c>
      <c r="G15" s="16"/>
      <c r="H15" s="16"/>
    </row>
    <row r="16" spans="1:8" s="17" customFormat="1" ht="30" customHeight="1">
      <c r="A16" s="4">
        <v>6</v>
      </c>
      <c r="B16" s="15" t="s">
        <v>74</v>
      </c>
      <c r="C16" s="30">
        <v>0</v>
      </c>
      <c r="D16" s="30">
        <v>11190.06</v>
      </c>
      <c r="E16" s="30">
        <v>8534.2</v>
      </c>
      <c r="F16" s="30">
        <f t="shared" si="0"/>
        <v>-2655.8599999999988</v>
      </c>
      <c r="G16" s="16"/>
      <c r="H16" s="16"/>
    </row>
    <row r="17" spans="1:8" s="47" customFormat="1" ht="21" customHeight="1">
      <c r="A17" s="41"/>
      <c r="B17" s="18" t="s">
        <v>3</v>
      </c>
      <c r="C17" s="45">
        <f>SUM(C11:C16)</f>
        <v>0</v>
      </c>
      <c r="D17" s="45">
        <f>SUM(D11:D16)</f>
        <v>1048096.83</v>
      </c>
      <c r="E17" s="45">
        <f>SUM(E11:E16)</f>
        <v>900536.8899999999</v>
      </c>
      <c r="F17" s="45">
        <f>SUM(F11:F16)</f>
        <v>-147559.94</v>
      </c>
      <c r="G17" s="46"/>
      <c r="H17" s="46"/>
    </row>
    <row r="18" ht="19.5" customHeight="1"/>
    <row r="19" spans="1:6" ht="11.25" customHeight="1">
      <c r="A19" s="126" t="s">
        <v>17</v>
      </c>
      <c r="B19" s="126"/>
      <c r="C19" s="126"/>
      <c r="D19" s="126"/>
      <c r="E19" s="126"/>
      <c r="F19" s="126"/>
    </row>
    <row r="20" spans="1:6" ht="15.75">
      <c r="A20" s="42"/>
      <c r="B20" s="42"/>
      <c r="C20" s="42"/>
      <c r="D20" s="42"/>
      <c r="E20" s="42"/>
      <c r="F20" s="42"/>
    </row>
    <row r="21" spans="1:8" ht="31.5">
      <c r="A21" s="14" t="s">
        <v>31</v>
      </c>
      <c r="B21" s="127" t="s">
        <v>4</v>
      </c>
      <c r="C21" s="127"/>
      <c r="D21" s="127"/>
      <c r="E21" s="127"/>
      <c r="F21" s="18" t="s">
        <v>10</v>
      </c>
      <c r="H21" s="5" t="s">
        <v>18</v>
      </c>
    </row>
    <row r="22" spans="1:8" ht="15.75">
      <c r="A22" s="20">
        <v>1</v>
      </c>
      <c r="B22" s="132" t="s">
        <v>5</v>
      </c>
      <c r="C22" s="132"/>
      <c r="D22" s="132"/>
      <c r="E22" s="132"/>
      <c r="F22" s="1">
        <f>I12</f>
        <v>209463.27999999997</v>
      </c>
      <c r="G22" s="19"/>
      <c r="H22" s="5">
        <f>D5</f>
        <v>7173.4</v>
      </c>
    </row>
    <row r="23" spans="1:10" ht="18" customHeight="1">
      <c r="A23" s="22">
        <v>2</v>
      </c>
      <c r="B23" s="128" t="s">
        <v>34</v>
      </c>
      <c r="C23" s="128"/>
      <c r="D23" s="128"/>
      <c r="E23" s="128"/>
      <c r="F23" s="2">
        <f>0.21*9*H22</f>
        <v>13557.725999999999</v>
      </c>
      <c r="G23" s="21"/>
      <c r="H23" s="5" t="s">
        <v>19</v>
      </c>
      <c r="I23" s="5" t="s">
        <v>20</v>
      </c>
      <c r="J23" s="5" t="s">
        <v>21</v>
      </c>
    </row>
    <row r="24" spans="1:10" ht="18" customHeight="1">
      <c r="A24" s="22">
        <v>3</v>
      </c>
      <c r="B24" s="128" t="s">
        <v>75</v>
      </c>
      <c r="C24" s="128"/>
      <c r="D24" s="128"/>
      <c r="E24" s="128"/>
      <c r="F24" s="2">
        <f>J25</f>
        <v>130440</v>
      </c>
      <c r="G24" s="21"/>
      <c r="I24" s="5">
        <v>7609</v>
      </c>
      <c r="J24" s="5">
        <v>10870</v>
      </c>
    </row>
    <row r="25" spans="1:10" ht="18" customHeight="1">
      <c r="A25" s="22">
        <v>4</v>
      </c>
      <c r="B25" s="128" t="s">
        <v>22</v>
      </c>
      <c r="C25" s="128"/>
      <c r="D25" s="128"/>
      <c r="E25" s="128"/>
      <c r="F25" s="2">
        <f>I13</f>
        <v>146337.36</v>
      </c>
      <c r="G25" s="35" t="s">
        <v>42</v>
      </c>
      <c r="H25" s="5">
        <f>1720*1.202</f>
        <v>2067.44</v>
      </c>
      <c r="I25" s="5">
        <f>I24*12</f>
        <v>91308</v>
      </c>
      <c r="J25" s="5">
        <f>J24*12</f>
        <v>130440</v>
      </c>
    </row>
    <row r="26" spans="1:7" ht="18" customHeight="1">
      <c r="A26" s="22">
        <v>5</v>
      </c>
      <c r="B26" s="128" t="s">
        <v>6</v>
      </c>
      <c r="C26" s="128"/>
      <c r="D26" s="128"/>
      <c r="E26" s="128"/>
      <c r="F26" s="2">
        <f>F27+F28+F33+F29+F31+F32+F30</f>
        <v>98406.15</v>
      </c>
      <c r="G26" s="21"/>
    </row>
    <row r="27" spans="1:10" ht="16.5" customHeight="1">
      <c r="A27" s="22" t="s">
        <v>7</v>
      </c>
      <c r="B27" s="128" t="s">
        <v>23</v>
      </c>
      <c r="C27" s="128"/>
      <c r="D27" s="128"/>
      <c r="E27" s="128"/>
      <c r="F27" s="3">
        <f>F55+F65+F67+F69+F70+F73+F76+F77</f>
        <v>27293</v>
      </c>
      <c r="G27" s="9"/>
      <c r="H27" s="5" t="s">
        <v>47</v>
      </c>
      <c r="J27" s="5">
        <v>530</v>
      </c>
    </row>
    <row r="28" spans="1:7" ht="16.5" customHeight="1">
      <c r="A28" s="22" t="s">
        <v>7</v>
      </c>
      <c r="B28" s="128" t="s">
        <v>24</v>
      </c>
      <c r="C28" s="128"/>
      <c r="D28" s="128"/>
      <c r="E28" s="128"/>
      <c r="F28" s="3">
        <f>F51+F52+F53+F57+F58+F59+F61+F62+F63+F66+F68+F71+F72+F74+F75</f>
        <v>34347</v>
      </c>
      <c r="G28" s="9"/>
    </row>
    <row r="29" spans="1:7" ht="16.5" customHeight="1">
      <c r="A29" s="22" t="s">
        <v>7</v>
      </c>
      <c r="B29" s="128" t="s">
        <v>69</v>
      </c>
      <c r="C29" s="128"/>
      <c r="D29" s="128"/>
      <c r="E29" s="128"/>
      <c r="F29" s="3">
        <f>F50</f>
        <v>22667.8</v>
      </c>
      <c r="G29" s="9"/>
    </row>
    <row r="30" spans="1:7" ht="16.5" customHeight="1">
      <c r="A30" s="22" t="s">
        <v>7</v>
      </c>
      <c r="B30" s="128" t="s">
        <v>70</v>
      </c>
      <c r="C30" s="128"/>
      <c r="D30" s="128"/>
      <c r="E30" s="128"/>
      <c r="F30" s="3">
        <f>F49</f>
        <v>1701.56</v>
      </c>
      <c r="G30" s="9"/>
    </row>
    <row r="31" spans="1:7" ht="16.5" customHeight="1">
      <c r="A31" s="22" t="s">
        <v>7</v>
      </c>
      <c r="B31" s="128" t="s">
        <v>66</v>
      </c>
      <c r="C31" s="128"/>
      <c r="D31" s="128"/>
      <c r="E31" s="128"/>
      <c r="F31" s="3">
        <f>F60</f>
        <v>523.79</v>
      </c>
      <c r="G31" s="9"/>
    </row>
    <row r="32" spans="1:7" ht="16.5" customHeight="1">
      <c r="A32" s="22" t="s">
        <v>7</v>
      </c>
      <c r="B32" s="128" t="s">
        <v>67</v>
      </c>
      <c r="C32" s="128"/>
      <c r="D32" s="128"/>
      <c r="E32" s="128"/>
      <c r="F32" s="3">
        <f>F46</f>
        <v>2148</v>
      </c>
      <c r="G32" s="9"/>
    </row>
    <row r="33" spans="1:7" ht="16.5" customHeight="1">
      <c r="A33" s="22" t="s">
        <v>7</v>
      </c>
      <c r="B33" s="128" t="s">
        <v>25</v>
      </c>
      <c r="C33" s="128"/>
      <c r="D33" s="128"/>
      <c r="E33" s="128"/>
      <c r="F33" s="3">
        <f>F47+F48+F54+F56+F64</f>
        <v>9725</v>
      </c>
      <c r="G33" s="9"/>
    </row>
    <row r="34" spans="1:7" ht="16.5" customHeight="1">
      <c r="A34" s="22">
        <v>6</v>
      </c>
      <c r="B34" s="128" t="s">
        <v>60</v>
      </c>
      <c r="C34" s="128"/>
      <c r="D34" s="128"/>
      <c r="E34" s="128"/>
      <c r="F34" s="3">
        <f>530*10</f>
        <v>5300</v>
      </c>
      <c r="G34" s="9"/>
    </row>
    <row r="35" spans="1:7" ht="16.5" customHeight="1">
      <c r="A35" s="22">
        <v>7</v>
      </c>
      <c r="B35" s="128" t="s">
        <v>72</v>
      </c>
      <c r="C35" s="128"/>
      <c r="D35" s="128"/>
      <c r="E35" s="128"/>
      <c r="F35" s="3">
        <f>D13</f>
        <v>112248.29999999999</v>
      </c>
      <c r="G35" s="9"/>
    </row>
    <row r="36" spans="1:7" ht="17.25" customHeight="1">
      <c r="A36" s="22">
        <v>8</v>
      </c>
      <c r="B36" s="133" t="s">
        <v>35</v>
      </c>
      <c r="C36" s="133"/>
      <c r="D36" s="133"/>
      <c r="E36" s="133"/>
      <c r="F36" s="3">
        <f>D15</f>
        <v>62361.31999999999</v>
      </c>
      <c r="G36" s="9"/>
    </row>
    <row r="37" spans="1:7" ht="17.25" customHeight="1">
      <c r="A37" s="22">
        <v>9</v>
      </c>
      <c r="B37" s="133" t="s">
        <v>36</v>
      </c>
      <c r="C37" s="133"/>
      <c r="D37" s="133"/>
      <c r="E37" s="133"/>
      <c r="F37" s="3">
        <f>D12</f>
        <v>140133.91</v>
      </c>
      <c r="G37" s="9"/>
    </row>
    <row r="38" spans="1:7" s="25" customFormat="1" ht="21" customHeight="1">
      <c r="A38" s="23"/>
      <c r="B38" s="155" t="s">
        <v>8</v>
      </c>
      <c r="C38" s="155"/>
      <c r="D38" s="155"/>
      <c r="E38" s="155"/>
      <c r="F38" s="24">
        <f>F22+F23+F25+F26+F37+F36+F35+F24</f>
        <v>912948.0459999999</v>
      </c>
      <c r="G38" s="6"/>
    </row>
    <row r="40" spans="1:6" ht="18" customHeight="1">
      <c r="A40" s="39" t="s">
        <v>58</v>
      </c>
      <c r="B40" s="39"/>
      <c r="C40" s="39"/>
      <c r="D40" s="39"/>
      <c r="E40" s="39"/>
      <c r="F40" s="3">
        <f>D7+D17-F38</f>
        <v>135148.7840000001</v>
      </c>
    </row>
    <row r="41" spans="1:6" ht="20.25" customHeight="1">
      <c r="A41" s="39" t="s">
        <v>55</v>
      </c>
      <c r="B41" s="39"/>
      <c r="C41" s="39"/>
      <c r="D41" s="39"/>
      <c r="E41" s="39"/>
      <c r="F41" s="3">
        <f>F17</f>
        <v>-147559.94</v>
      </c>
    </row>
    <row r="42" spans="1:6" ht="18" customHeight="1">
      <c r="A42" s="40" t="s">
        <v>56</v>
      </c>
      <c r="B42" s="40"/>
      <c r="C42" s="40"/>
      <c r="D42" s="40"/>
      <c r="E42" s="40"/>
      <c r="F42" s="3">
        <f>F40+F41</f>
        <v>-12411.1559999999</v>
      </c>
    </row>
    <row r="43" ht="11.25" customHeight="1"/>
    <row r="45" spans="1:7" ht="15.75">
      <c r="A45" s="26" t="s">
        <v>14</v>
      </c>
      <c r="B45" s="26" t="s">
        <v>9</v>
      </c>
      <c r="C45" s="119" t="s">
        <v>26</v>
      </c>
      <c r="D45" s="120"/>
      <c r="E45" s="121"/>
      <c r="F45" s="26" t="s">
        <v>27</v>
      </c>
      <c r="G45" s="5" t="s">
        <v>68</v>
      </c>
    </row>
    <row r="46" spans="1:7" s="33" customFormat="1" ht="15">
      <c r="A46" s="31">
        <v>1</v>
      </c>
      <c r="B46" s="32" t="s">
        <v>54</v>
      </c>
      <c r="C46" s="135" t="s">
        <v>41</v>
      </c>
      <c r="D46" s="136"/>
      <c r="E46" s="137"/>
      <c r="F46" s="34">
        <f>179*12</f>
        <v>2148</v>
      </c>
      <c r="G46" s="33" t="s">
        <v>68</v>
      </c>
    </row>
    <row r="47" spans="1:7" s="33" customFormat="1" ht="15" customHeight="1">
      <c r="A47" s="36">
        <v>2</v>
      </c>
      <c r="B47" s="37">
        <v>42076</v>
      </c>
      <c r="C47" s="152" t="s">
        <v>43</v>
      </c>
      <c r="D47" s="153"/>
      <c r="E47" s="154"/>
      <c r="F47" s="43">
        <v>1375</v>
      </c>
      <c r="G47" s="33" t="s">
        <v>68</v>
      </c>
    </row>
    <row r="48" spans="1:7" s="33" customFormat="1" ht="15">
      <c r="A48" s="36">
        <v>3</v>
      </c>
      <c r="B48" s="37">
        <v>42079</v>
      </c>
      <c r="C48" s="152" t="s">
        <v>65</v>
      </c>
      <c r="D48" s="153"/>
      <c r="E48" s="154"/>
      <c r="F48" s="43">
        <v>739</v>
      </c>
      <c r="G48" s="33" t="s">
        <v>68</v>
      </c>
    </row>
    <row r="49" spans="1:7" s="33" customFormat="1" ht="15">
      <c r="A49" s="31">
        <v>4</v>
      </c>
      <c r="B49" s="37">
        <v>42093</v>
      </c>
      <c r="C49" s="152" t="s">
        <v>48</v>
      </c>
      <c r="D49" s="153"/>
      <c r="E49" s="154"/>
      <c r="F49" s="43">
        <v>1701.56</v>
      </c>
      <c r="G49" s="33" t="s">
        <v>68</v>
      </c>
    </row>
    <row r="50" spans="1:7" s="33" customFormat="1" ht="15">
      <c r="A50" s="36">
        <v>5</v>
      </c>
      <c r="B50" s="37">
        <v>42100</v>
      </c>
      <c r="C50" s="152" t="s">
        <v>49</v>
      </c>
      <c r="D50" s="153"/>
      <c r="E50" s="154"/>
      <c r="F50" s="43">
        <v>22667.8</v>
      </c>
      <c r="G50" s="33" t="s">
        <v>68</v>
      </c>
    </row>
    <row r="51" spans="1:7" s="33" customFormat="1" ht="15">
      <c r="A51" s="36">
        <v>6</v>
      </c>
      <c r="B51" s="37">
        <v>42100</v>
      </c>
      <c r="C51" s="152" t="s">
        <v>53</v>
      </c>
      <c r="D51" s="153"/>
      <c r="E51" s="154"/>
      <c r="F51" s="43">
        <v>786</v>
      </c>
      <c r="G51" s="33" t="s">
        <v>68</v>
      </c>
    </row>
    <row r="52" spans="1:7" s="33" customFormat="1" ht="15">
      <c r="A52" s="31">
        <v>7</v>
      </c>
      <c r="B52" s="37" t="s">
        <v>64</v>
      </c>
      <c r="C52" s="152" t="s">
        <v>63</v>
      </c>
      <c r="D52" s="153"/>
      <c r="E52" s="154"/>
      <c r="F52" s="43">
        <f>14469+10213</f>
        <v>24682</v>
      </c>
      <c r="G52" s="33" t="s">
        <v>68</v>
      </c>
    </row>
    <row r="53" spans="1:7" s="33" customFormat="1" ht="15">
      <c r="A53" s="36">
        <v>8</v>
      </c>
      <c r="B53" s="37">
        <v>42111</v>
      </c>
      <c r="C53" s="152" t="s">
        <v>62</v>
      </c>
      <c r="D53" s="153"/>
      <c r="E53" s="154"/>
      <c r="F53" s="43">
        <v>746</v>
      </c>
      <c r="G53" s="33" t="s">
        <v>68</v>
      </c>
    </row>
    <row r="54" spans="1:7" s="33" customFormat="1" ht="15">
      <c r="A54" s="36">
        <v>9</v>
      </c>
      <c r="B54" s="37">
        <v>42116</v>
      </c>
      <c r="C54" s="152" t="s">
        <v>43</v>
      </c>
      <c r="D54" s="153"/>
      <c r="E54" s="154"/>
      <c r="F54" s="43">
        <v>746</v>
      </c>
      <c r="G54" s="33" t="s">
        <v>68</v>
      </c>
    </row>
    <row r="55" spans="1:7" s="33" customFormat="1" ht="15">
      <c r="A55" s="31">
        <v>10</v>
      </c>
      <c r="B55" s="37">
        <v>42121</v>
      </c>
      <c r="C55" s="152" t="s">
        <v>51</v>
      </c>
      <c r="D55" s="153"/>
      <c r="E55" s="154"/>
      <c r="F55" s="43">
        <v>377</v>
      </c>
      <c r="G55" s="33" t="s">
        <v>68</v>
      </c>
    </row>
    <row r="56" spans="1:7" s="33" customFormat="1" ht="15">
      <c r="A56" s="36">
        <v>11</v>
      </c>
      <c r="B56" s="37">
        <v>42129</v>
      </c>
      <c r="C56" s="146" t="s">
        <v>61</v>
      </c>
      <c r="D56" s="147"/>
      <c r="E56" s="148"/>
      <c r="F56" s="43">
        <v>4255</v>
      </c>
      <c r="G56" s="33" t="s">
        <v>68</v>
      </c>
    </row>
    <row r="57" spans="1:7" s="33" customFormat="1" ht="15">
      <c r="A57" s="36">
        <v>12</v>
      </c>
      <c r="B57" s="37">
        <v>42131</v>
      </c>
      <c r="C57" s="146" t="s">
        <v>62</v>
      </c>
      <c r="D57" s="147"/>
      <c r="E57" s="148"/>
      <c r="F57" s="43">
        <v>39</v>
      </c>
      <c r="G57" s="33" t="s">
        <v>68</v>
      </c>
    </row>
    <row r="58" spans="1:7" s="33" customFormat="1" ht="15">
      <c r="A58" s="31">
        <v>13</v>
      </c>
      <c r="B58" s="37">
        <v>42142</v>
      </c>
      <c r="C58" s="146" t="s">
        <v>39</v>
      </c>
      <c r="D58" s="147"/>
      <c r="E58" s="148"/>
      <c r="F58" s="43">
        <v>984</v>
      </c>
      <c r="G58" s="33" t="s">
        <v>68</v>
      </c>
    </row>
    <row r="59" spans="1:7" s="33" customFormat="1" ht="15">
      <c r="A59" s="36">
        <v>14</v>
      </c>
      <c r="B59" s="37">
        <v>42158</v>
      </c>
      <c r="C59" s="149" t="s">
        <v>39</v>
      </c>
      <c r="D59" s="150"/>
      <c r="E59" s="151"/>
      <c r="F59" s="44">
        <f>982+684</f>
        <v>1666</v>
      </c>
      <c r="G59" s="33" t="s">
        <v>68</v>
      </c>
    </row>
    <row r="60" spans="1:7" s="33" customFormat="1" ht="15">
      <c r="A60" s="36">
        <v>15</v>
      </c>
      <c r="B60" s="37">
        <v>42185</v>
      </c>
      <c r="C60" s="149" t="s">
        <v>50</v>
      </c>
      <c r="D60" s="150"/>
      <c r="E60" s="151"/>
      <c r="F60" s="44">
        <v>523.79</v>
      </c>
      <c r="G60" s="33" t="s">
        <v>68</v>
      </c>
    </row>
    <row r="61" spans="1:7" s="33" customFormat="1" ht="15">
      <c r="A61" s="31">
        <v>16</v>
      </c>
      <c r="B61" s="37">
        <v>42187</v>
      </c>
      <c r="C61" s="146" t="s">
        <v>62</v>
      </c>
      <c r="D61" s="147"/>
      <c r="E61" s="148"/>
      <c r="F61" s="38">
        <v>102</v>
      </c>
      <c r="G61" s="33" t="s">
        <v>68</v>
      </c>
    </row>
    <row r="62" spans="1:7" s="33" customFormat="1" ht="30" customHeight="1">
      <c r="A62" s="36">
        <v>17</v>
      </c>
      <c r="B62" s="37">
        <v>42242</v>
      </c>
      <c r="C62" s="152" t="s">
        <v>40</v>
      </c>
      <c r="D62" s="153"/>
      <c r="E62" s="154"/>
      <c r="F62" s="43">
        <v>351</v>
      </c>
      <c r="G62" s="33" t="s">
        <v>68</v>
      </c>
    </row>
    <row r="63" spans="1:7" s="33" customFormat="1" ht="15">
      <c r="A63" s="36">
        <v>18</v>
      </c>
      <c r="B63" s="37">
        <v>42248</v>
      </c>
      <c r="C63" s="152" t="s">
        <v>39</v>
      </c>
      <c r="D63" s="153"/>
      <c r="E63" s="154"/>
      <c r="F63" s="43">
        <v>246</v>
      </c>
      <c r="G63" s="33" t="s">
        <v>68</v>
      </c>
    </row>
    <row r="64" spans="1:7" s="33" customFormat="1" ht="15">
      <c r="A64" s="31">
        <v>19</v>
      </c>
      <c r="B64" s="37">
        <v>42279</v>
      </c>
      <c r="C64" s="146" t="s">
        <v>43</v>
      </c>
      <c r="D64" s="147"/>
      <c r="E64" s="148"/>
      <c r="F64" s="38">
        <f>781*2+1048</f>
        <v>2610</v>
      </c>
      <c r="G64" s="33" t="s">
        <v>68</v>
      </c>
    </row>
    <row r="65" spans="1:7" s="33" customFormat="1" ht="31.5" customHeight="1">
      <c r="A65" s="36">
        <v>20</v>
      </c>
      <c r="B65" s="37">
        <v>42282</v>
      </c>
      <c r="C65" s="146" t="s">
        <v>44</v>
      </c>
      <c r="D65" s="147"/>
      <c r="E65" s="148"/>
      <c r="F65" s="38">
        <v>14235</v>
      </c>
      <c r="G65" s="33" t="s">
        <v>68</v>
      </c>
    </row>
    <row r="66" spans="1:7" s="33" customFormat="1" ht="15">
      <c r="A66" s="36">
        <v>21</v>
      </c>
      <c r="B66" s="37">
        <v>42283</v>
      </c>
      <c r="C66" s="146" t="s">
        <v>46</v>
      </c>
      <c r="D66" s="147"/>
      <c r="E66" s="148"/>
      <c r="F66" s="38">
        <f>1071+752</f>
        <v>1823</v>
      </c>
      <c r="G66" s="33" t="s">
        <v>68</v>
      </c>
    </row>
    <row r="67" spans="1:7" s="33" customFormat="1" ht="31.5" customHeight="1">
      <c r="A67" s="31">
        <v>22</v>
      </c>
      <c r="B67" s="37">
        <v>42290</v>
      </c>
      <c r="C67" s="146" t="s">
        <v>45</v>
      </c>
      <c r="D67" s="147"/>
      <c r="E67" s="148"/>
      <c r="F67" s="38">
        <v>1312</v>
      </c>
      <c r="G67" s="33" t="s">
        <v>68</v>
      </c>
    </row>
    <row r="68" spans="1:7" s="33" customFormat="1" ht="15">
      <c r="A68" s="36">
        <v>23</v>
      </c>
      <c r="B68" s="37">
        <v>42306</v>
      </c>
      <c r="C68" s="146" t="s">
        <v>46</v>
      </c>
      <c r="D68" s="147"/>
      <c r="E68" s="148"/>
      <c r="F68" s="38">
        <v>702</v>
      </c>
      <c r="G68" s="33" t="s">
        <v>68</v>
      </c>
    </row>
    <row r="69" spans="1:7" s="33" customFormat="1" ht="15">
      <c r="A69" s="36">
        <v>24</v>
      </c>
      <c r="B69" s="37">
        <v>42311</v>
      </c>
      <c r="C69" s="146" t="s">
        <v>51</v>
      </c>
      <c r="D69" s="147"/>
      <c r="E69" s="148"/>
      <c r="F69" s="38">
        <v>654</v>
      </c>
      <c r="G69" s="33" t="s">
        <v>68</v>
      </c>
    </row>
    <row r="70" spans="1:7" s="33" customFormat="1" ht="15">
      <c r="A70" s="31">
        <v>25</v>
      </c>
      <c r="B70" s="37">
        <v>42324</v>
      </c>
      <c r="C70" s="146" t="s">
        <v>51</v>
      </c>
      <c r="D70" s="147"/>
      <c r="E70" s="148"/>
      <c r="F70" s="38">
        <v>377</v>
      </c>
      <c r="G70" s="33" t="s">
        <v>68</v>
      </c>
    </row>
    <row r="71" spans="1:7" s="33" customFormat="1" ht="15">
      <c r="A71" s="36">
        <v>26</v>
      </c>
      <c r="B71" s="37">
        <v>42324</v>
      </c>
      <c r="C71" s="146" t="s">
        <v>53</v>
      </c>
      <c r="D71" s="147"/>
      <c r="E71" s="148"/>
      <c r="F71" s="38">
        <v>559</v>
      </c>
      <c r="G71" s="33" t="s">
        <v>68</v>
      </c>
    </row>
    <row r="72" spans="1:7" s="33" customFormat="1" ht="15">
      <c r="A72" s="36">
        <v>27</v>
      </c>
      <c r="B72" s="37">
        <v>42325</v>
      </c>
      <c r="C72" s="146" t="s">
        <v>39</v>
      </c>
      <c r="D72" s="147"/>
      <c r="E72" s="148"/>
      <c r="F72" s="38">
        <v>492</v>
      </c>
      <c r="G72" s="33" t="s">
        <v>68</v>
      </c>
    </row>
    <row r="73" spans="1:7" s="33" customFormat="1" ht="15">
      <c r="A73" s="31">
        <v>28</v>
      </c>
      <c r="B73" s="37">
        <v>42327</v>
      </c>
      <c r="C73" s="146" t="s">
        <v>52</v>
      </c>
      <c r="D73" s="147"/>
      <c r="E73" s="148"/>
      <c r="F73" s="38">
        <v>1942</v>
      </c>
      <c r="G73" s="33" t="s">
        <v>68</v>
      </c>
    </row>
    <row r="74" spans="1:7" s="33" customFormat="1" ht="15">
      <c r="A74" s="36">
        <v>29</v>
      </c>
      <c r="B74" s="37">
        <v>42328</v>
      </c>
      <c r="C74" s="146" t="s">
        <v>39</v>
      </c>
      <c r="D74" s="147"/>
      <c r="E74" s="148"/>
      <c r="F74" s="38">
        <v>492</v>
      </c>
      <c r="G74" s="33" t="s">
        <v>68</v>
      </c>
    </row>
    <row r="75" spans="1:7" s="33" customFormat="1" ht="15">
      <c r="A75" s="36">
        <v>30</v>
      </c>
      <c r="B75" s="37">
        <v>42340</v>
      </c>
      <c r="C75" s="146" t="s">
        <v>57</v>
      </c>
      <c r="D75" s="147"/>
      <c r="E75" s="148"/>
      <c r="F75" s="38">
        <v>677</v>
      </c>
      <c r="G75" s="33" t="s">
        <v>68</v>
      </c>
    </row>
    <row r="76" spans="1:7" s="33" customFormat="1" ht="30" customHeight="1">
      <c r="A76" s="31">
        <v>31</v>
      </c>
      <c r="B76" s="37">
        <v>42354</v>
      </c>
      <c r="C76" s="146" t="s">
        <v>59</v>
      </c>
      <c r="D76" s="147"/>
      <c r="E76" s="148"/>
      <c r="F76" s="38">
        <v>7500</v>
      </c>
      <c r="G76" s="33" t="s">
        <v>68</v>
      </c>
    </row>
    <row r="77" spans="1:7" s="33" customFormat="1" ht="30" customHeight="1">
      <c r="A77" s="36">
        <v>32</v>
      </c>
      <c r="B77" s="37">
        <v>42366</v>
      </c>
      <c r="C77" s="146" t="s">
        <v>45</v>
      </c>
      <c r="D77" s="147"/>
      <c r="E77" s="148"/>
      <c r="F77" s="38">
        <v>896</v>
      </c>
      <c r="G77" s="33" t="s">
        <v>68</v>
      </c>
    </row>
    <row r="78" spans="1:6" s="25" customFormat="1" ht="15.75">
      <c r="A78" s="115" t="s">
        <v>28</v>
      </c>
      <c r="B78" s="115"/>
      <c r="C78" s="115"/>
      <c r="D78" s="115"/>
      <c r="E78" s="115"/>
      <c r="F78" s="27">
        <f>SUM(F46:F77)</f>
        <v>98406.15</v>
      </c>
    </row>
  </sheetData>
  <sheetProtection selectLockedCells="1" selectUnlockedCells="1"/>
  <mergeCells count="55">
    <mergeCell ref="C77:E77"/>
    <mergeCell ref="C72:E72"/>
    <mergeCell ref="B25:E25"/>
    <mergeCell ref="B26:E26"/>
    <mergeCell ref="B27:E27"/>
    <mergeCell ref="C65:E65"/>
    <mergeCell ref="B28:E28"/>
    <mergeCell ref="B33:E33"/>
    <mergeCell ref="B36:E36"/>
    <mergeCell ref="C45:E45"/>
    <mergeCell ref="A1:F1"/>
    <mergeCell ref="A2:F2"/>
    <mergeCell ref="A19:F19"/>
    <mergeCell ref="B21:E21"/>
    <mergeCell ref="B22:E22"/>
    <mergeCell ref="B23:E23"/>
    <mergeCell ref="C49:E49"/>
    <mergeCell ref="B38:E38"/>
    <mergeCell ref="C46:E46"/>
    <mergeCell ref="C47:E47"/>
    <mergeCell ref="B37:E37"/>
    <mergeCell ref="C50:E50"/>
    <mergeCell ref="A78:E78"/>
    <mergeCell ref="C56:E56"/>
    <mergeCell ref="C54:E54"/>
    <mergeCell ref="C60:E60"/>
    <mergeCell ref="C62:E62"/>
    <mergeCell ref="C63:E63"/>
    <mergeCell ref="C61:E61"/>
    <mergeCell ref="C64:E64"/>
    <mergeCell ref="C75:E75"/>
    <mergeCell ref="C66:E66"/>
    <mergeCell ref="C67:E67"/>
    <mergeCell ref="C74:E74"/>
    <mergeCell ref="C68:E68"/>
    <mergeCell ref="C69:E69"/>
    <mergeCell ref="C70:E70"/>
    <mergeCell ref="C73:E73"/>
    <mergeCell ref="C71:E71"/>
    <mergeCell ref="C76:E76"/>
    <mergeCell ref="B35:E35"/>
    <mergeCell ref="C58:E58"/>
    <mergeCell ref="C57:E57"/>
    <mergeCell ref="C59:E59"/>
    <mergeCell ref="C55:E55"/>
    <mergeCell ref="C51:E51"/>
    <mergeCell ref="C52:E52"/>
    <mergeCell ref="C53:E53"/>
    <mergeCell ref="C48:E48"/>
    <mergeCell ref="B31:E31"/>
    <mergeCell ref="B32:E32"/>
    <mergeCell ref="B29:E29"/>
    <mergeCell ref="B30:E30"/>
    <mergeCell ref="B34:E34"/>
    <mergeCell ref="B24:E24"/>
  </mergeCells>
  <printOptions horizontalCentered="1" verticalCentered="1"/>
  <pageMargins left="0.7480314960629921" right="0.7480314960629921" top="0.1968503937007874" bottom="0.1968503937007874" header="0" footer="0"/>
  <pageSetup horizontalDpi="300" verticalDpi="300" orientation="portrait" paperSize="9" r:id="rId1"/>
  <rowBreaks count="1" manualBreakCount="1">
    <brk id="4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UserPC</cp:lastModifiedBy>
  <cp:lastPrinted>2017-06-09T09:33:51Z</cp:lastPrinted>
  <dcterms:created xsi:type="dcterms:W3CDTF">2015-10-12T10:40:12Z</dcterms:created>
  <dcterms:modified xsi:type="dcterms:W3CDTF">2018-03-28T07:59:40Z</dcterms:modified>
  <cp:category/>
  <cp:version/>
  <cp:contentType/>
  <cp:contentStatus/>
</cp:coreProperties>
</file>