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'2014'!$A$1:$E$109</definedName>
    <definedName name="_xlnm.Print_Area" localSheetId="2">'2015'!$A$1:$E$80</definedName>
    <definedName name="_xlnm.Print_Area" localSheetId="1">'2016'!$A$1:$F$42</definedName>
  </definedNames>
  <calcPr fullCalcOnLoad="1" refMode="R1C1"/>
</workbook>
</file>

<file path=xl/sharedStrings.xml><?xml version="1.0" encoding="utf-8"?>
<sst xmlns="http://schemas.openxmlformats.org/spreadsheetml/2006/main" count="513" uniqueCount="212">
  <si>
    <t>В управлении ООО «УК Старый Город» - с 01.12.2010 года</t>
  </si>
  <si>
    <t>Начислено</t>
  </si>
  <si>
    <t>Поступило (оплата)</t>
  </si>
  <si>
    <t>Содержание жилья</t>
  </si>
  <si>
    <t>Вывоз ТБО</t>
  </si>
  <si>
    <t>Складирование ТБО</t>
  </si>
  <si>
    <t>Обслуживание ВГО</t>
  </si>
  <si>
    <t>Электроэнергия МОП</t>
  </si>
  <si>
    <t>Использование лифта</t>
  </si>
  <si>
    <t>Итого</t>
  </si>
  <si>
    <t>№ п/п</t>
  </si>
  <si>
    <t>Вид</t>
  </si>
  <si>
    <t>Сумма, рублей</t>
  </si>
  <si>
    <t>-</t>
  </si>
  <si>
    <t xml:space="preserve">снятие показаний                                                  </t>
  </si>
  <si>
    <t>осмотр эл/сетей</t>
  </si>
  <si>
    <t>ремонт групповых щитков</t>
  </si>
  <si>
    <t>осмотр помещений на предмет утечки</t>
  </si>
  <si>
    <t>очистка канализации</t>
  </si>
  <si>
    <t>прочистка труб</t>
  </si>
  <si>
    <t>смена ламп накаливания</t>
  </si>
  <si>
    <t xml:space="preserve">уборка лестничных площадок                                                             </t>
  </si>
  <si>
    <t>Всего работ  за период</t>
  </si>
  <si>
    <t>Задолженность населения на 31.12.2014г., в т.ч.</t>
  </si>
  <si>
    <t>- за содержание жилья, в т.ч.</t>
  </si>
  <si>
    <t>Дата</t>
  </si>
  <si>
    <t>Вид работ</t>
  </si>
  <si>
    <t>Сумма работ</t>
  </si>
  <si>
    <t>ремонт групповых щитков18</t>
  </si>
  <si>
    <t>ремонт групповых щитков16</t>
  </si>
  <si>
    <t xml:space="preserve">смена ламп накаливания </t>
  </si>
  <si>
    <t>прочистка канализации</t>
  </si>
  <si>
    <t>Задолжен-ность на 01.01.2014 г</t>
  </si>
  <si>
    <t>Общая площадь квартир</t>
  </si>
  <si>
    <t>кв.м.</t>
  </si>
  <si>
    <t>Расходы на обслуживание МКД</t>
  </si>
  <si>
    <t>Экономист ООО «УК Старый город»                                        Хромушина Т.В.</t>
  </si>
  <si>
    <t>Остаток на 01.01.2014 года</t>
  </si>
  <si>
    <t>руб. (прибыль)</t>
  </si>
  <si>
    <t>Сальдо на 01.01.2015г (прибыль)</t>
  </si>
  <si>
    <t>снятие показаний приборов учета</t>
  </si>
  <si>
    <t>осмотр эл/сетей по заявке</t>
  </si>
  <si>
    <t>осмотр чердачных и подвальных помещений по заявке 18</t>
  </si>
  <si>
    <t>осмотр чердачных и подвальных помещений, очистка канализ сети по заявке, 18</t>
  </si>
  <si>
    <t>осмотр чердачнй и подвальных помещений по заявке, 18</t>
  </si>
  <si>
    <t>осмотр помещений на предмет утечки по заявке,18</t>
  </si>
  <si>
    <t>осмотр помещений на предмет утечки по заявке</t>
  </si>
  <si>
    <t>осмотр чердачных и подвальных помещений по заявке, 18</t>
  </si>
  <si>
    <t>осмотр систем водоснабжения, отопления по заявке, 16</t>
  </si>
  <si>
    <t>осмотр систем водоснабжения, отопления по заявке, 18</t>
  </si>
  <si>
    <t>осмотр помещений на предмет утечки по заявке, 18</t>
  </si>
  <si>
    <t>осмотр эл/сетей по заявке, 18</t>
  </si>
  <si>
    <t xml:space="preserve">осмотр чердачных и подвальных помещений </t>
  </si>
  <si>
    <t>осмотр чердачных и подвальных помещений, ремонт</t>
  </si>
  <si>
    <t>осмотр эл. сетей, смена ламп накаливания. 16</t>
  </si>
  <si>
    <t>Задолжен-ность на 31.12.2014 г.</t>
  </si>
  <si>
    <t>тариф</t>
  </si>
  <si>
    <t>упр-е</t>
  </si>
  <si>
    <t>двор</t>
  </si>
  <si>
    <t xml:space="preserve">санитарное содержание придомовой территории                                                        </t>
  </si>
  <si>
    <t>тех. освидетельствование лифтов, страховка</t>
  </si>
  <si>
    <t>тех. обслуживание лифтов</t>
  </si>
  <si>
    <t>тех. обслуживание УУТ</t>
  </si>
  <si>
    <t>вывоз ТБО</t>
  </si>
  <si>
    <t>обслуживание ВГО</t>
  </si>
  <si>
    <t>электроэнергия МОП</t>
  </si>
  <si>
    <t>услуги управления</t>
  </si>
  <si>
    <t>содержание общего имущества, в т.ч.</t>
  </si>
  <si>
    <t>промывка системы отопления</t>
  </si>
  <si>
    <t>Расшифровка работ по тех. обслуживанию</t>
  </si>
  <si>
    <t>Ул. Партизана Железняка, д. 16-18</t>
  </si>
  <si>
    <t>Персонифицированный учет МКД за 2014 год</t>
  </si>
  <si>
    <t>ИТОГО:</t>
  </si>
  <si>
    <t>Персонифицированный учет МКД за 2015 год</t>
  </si>
  <si>
    <t>Услуга</t>
  </si>
  <si>
    <t>Задолженность на 01.01.2015</t>
  </si>
  <si>
    <t>Оплачено</t>
  </si>
  <si>
    <t>Задолженность на 31.12.2015г</t>
  </si>
  <si>
    <t>Расходы по обслуживанию МКД</t>
  </si>
  <si>
    <r>
      <t xml:space="preserve">№ </t>
    </r>
    <r>
      <rPr>
        <b/>
        <sz val="12"/>
        <rFont val="Times New Roman"/>
        <family val="1"/>
      </rPr>
      <t>п/п</t>
    </r>
  </si>
  <si>
    <t>Услуги управления</t>
  </si>
  <si>
    <t>з/п</t>
  </si>
  <si>
    <t>дворника</t>
  </si>
  <si>
    <t>уборщицы</t>
  </si>
  <si>
    <t>Санитарное содержание прилегающей территории</t>
  </si>
  <si>
    <t>Содержание общего имущества, в т.ч.</t>
  </si>
  <si>
    <t>Сантехнические работы</t>
  </si>
  <si>
    <t>Электромонтажные работы</t>
  </si>
  <si>
    <t>Общестроительные работы</t>
  </si>
  <si>
    <t>Всего работ за период</t>
  </si>
  <si>
    <t>площадь кв.м.</t>
  </si>
  <si>
    <t>осмотр э/сетей, смена ламп в МОП</t>
  </si>
  <si>
    <t>осмотр э/сетей</t>
  </si>
  <si>
    <t>установка замка в МОП</t>
  </si>
  <si>
    <t>осмотр систем водоснабжения, водоотведения на предмет утечки</t>
  </si>
  <si>
    <t>осмотр систем водоснабжения, водоотведения на предмет утечки, ремонтные работы</t>
  </si>
  <si>
    <t>осмотр систем водоснабжения, водоотведения на предмет утечки по заявке, ремонтные работы</t>
  </si>
  <si>
    <t>смена ламп в МОП</t>
  </si>
  <si>
    <t>осмотр э/сетей, смена ламп в МОП, ремонтные работы</t>
  </si>
  <si>
    <t>осмотр системы водоснабжения, водоотведения на предмет утечки</t>
  </si>
  <si>
    <t>+окос</t>
  </si>
  <si>
    <t>Санитарное содержание МОП</t>
  </si>
  <si>
    <t>осмотр системы отопления, проверка отопительных приборов на прогрев</t>
  </si>
  <si>
    <t>осмотр систем водоснабжения, водоотведения, отопления на предмет утечки, ремонтные работы</t>
  </si>
  <si>
    <t>промывка труб канализационной системы</t>
  </si>
  <si>
    <t>арс</t>
  </si>
  <si>
    <t>поверка УУТЭ</t>
  </si>
  <si>
    <t>общестроительные работы</t>
  </si>
  <si>
    <t>частичный ремонт системы отопления</t>
  </si>
  <si>
    <t>осмотр э/сетей, смена ламп</t>
  </si>
  <si>
    <t>ежемесячно</t>
  </si>
  <si>
    <t>снятие показаний приборов учета э/э</t>
  </si>
  <si>
    <t>Услуги аварийной службы</t>
  </si>
  <si>
    <t>Тех.обслуживание, тех.освидетельствование, страховка лифтов</t>
  </si>
  <si>
    <t>+</t>
  </si>
  <si>
    <t>Задолженность населения на 31.12.2015 г.</t>
  </si>
  <si>
    <t>Справочно: финансовый результат с учетом задолженности</t>
  </si>
  <si>
    <t>январь</t>
  </si>
  <si>
    <t>смена ламп, светильников, установка датчика движения</t>
  </si>
  <si>
    <t>Сальдо на 31.12.2015 г.</t>
  </si>
  <si>
    <t>Снятие показаний электроэнергии</t>
  </si>
  <si>
    <t>Поверка общедомового прибора учета теплоэнергии</t>
  </si>
  <si>
    <t>в 2015 году давали копию отчета с остатками на эту сумму</t>
  </si>
  <si>
    <t xml:space="preserve">                                                                                                                                                                       </t>
  </si>
  <si>
    <t>Вывоз и складирование ТБО</t>
  </si>
  <si>
    <t>Обслуживание узла учета тепловой энергии</t>
  </si>
  <si>
    <t>очень хотели ремонт подъездов</t>
  </si>
  <si>
    <t>Остаток на 01.01.2015 года</t>
  </si>
  <si>
    <t>Обслуживание лифтов</t>
  </si>
  <si>
    <t>Сумма</t>
  </si>
  <si>
    <t>ЛДСС</t>
  </si>
  <si>
    <t>Месяц</t>
  </si>
  <si>
    <t>Янв</t>
  </si>
  <si>
    <t>Фев</t>
  </si>
  <si>
    <t>Март</t>
  </si>
  <si>
    <t>обслуживание УУТЭ</t>
  </si>
  <si>
    <t>Апр</t>
  </si>
  <si>
    <t>Остаток на 01.01.2016 года</t>
  </si>
  <si>
    <t xml:space="preserve">руб. </t>
  </si>
  <si>
    <t>Персонифицированный учет МКД за 2016 год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</si>
  <si>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</si>
  <si>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</si>
  <si>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</si>
  <si>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</si>
  <si>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электрических сетей</t>
  </si>
  <si>
    <t>Аварийка</t>
  </si>
  <si>
    <t>Осмотр электрических сетей, смена ламп</t>
  </si>
  <si>
    <t>Очистка канализационной сети</t>
  </si>
  <si>
    <t>Периодич. Освидетельствование лифтов</t>
  </si>
  <si>
    <t>Осмотр чердачных и подвальных помещений</t>
  </si>
  <si>
    <t>Ремонт групповых щитков</t>
  </si>
  <si>
    <t>Песок 1го класса и доставка</t>
  </si>
  <si>
    <t>Очистка тер-рии от зарослей, стрижка кустарника</t>
  </si>
  <si>
    <t>Устройство дощатых покрытий</t>
  </si>
  <si>
    <t>Очистка подвала от КГМ и стоков</t>
  </si>
  <si>
    <t>Прокладка внутренних трубопроводов</t>
  </si>
  <si>
    <t>Осмотр электро сетей, ремонт светильников</t>
  </si>
  <si>
    <t>Осмотр чердачных и подвальных помещений, сис. водоснабжения</t>
  </si>
  <si>
    <t>Осмотр электрических сетей, ремонт выключателей</t>
  </si>
  <si>
    <t>Смена вентилей и клапанов</t>
  </si>
  <si>
    <t>Гидропневматическая промывка</t>
  </si>
  <si>
    <t>Очистка канализационной сети внутренней</t>
  </si>
  <si>
    <t>Проверка на прогрев отопительных приборов</t>
  </si>
  <si>
    <t>Трубо-печные работы</t>
  </si>
  <si>
    <t>Обследование чердачных и подвальных помещений</t>
  </si>
  <si>
    <t xml:space="preserve">Обследование электрических сетей </t>
  </si>
  <si>
    <t>Снятие показаний приборов учета э/э</t>
  </si>
  <si>
    <t>Ремонт лестничных клеток</t>
  </si>
  <si>
    <t>Горячее водоснабжение ОДН (превышение норматива)</t>
  </si>
  <si>
    <t>Горячее водоснабжение ОДН</t>
  </si>
  <si>
    <t>Центр.ГВС (коэф)</t>
  </si>
  <si>
    <t>Персонифицированный учет МКД за 2017 год</t>
  </si>
  <si>
    <t>Остаток на 01.01.2017 года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</si>
  <si>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</si>
  <si>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</si>
  <si>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</si>
  <si>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</si>
  <si>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</si>
  <si>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</si>
  <si>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</si>
  <si>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Гор.вода (центр.)на соид</t>
  </si>
  <si>
    <t>Хол. Вода для ЦГВС (коэф)</t>
  </si>
  <si>
    <t>Обслуживание ИТП</t>
  </si>
  <si>
    <t>№</t>
  </si>
  <si>
    <t>Ст-ть работ</t>
  </si>
  <si>
    <t>ежемесячно с 01.01.2017 по 31.07.2017</t>
  </si>
  <si>
    <t>снятие показаний общедомового прибора учета э/э</t>
  </si>
  <si>
    <t>Обследование электрических сетей. Смена ламп накаливания. Ремонт патронов</t>
  </si>
  <si>
    <t>Обследование электрических сетей. Отключение, разводка и подключение жил кабеля</t>
  </si>
  <si>
    <t>Обследование электрических сетей. Смена ламп накаливания.</t>
  </si>
  <si>
    <t xml:space="preserve">Обследование электрических сетей. </t>
  </si>
  <si>
    <t>Снятие показаний с приборов учета электроэнергии</t>
  </si>
  <si>
    <t>Обследование электрических сетей. Смена ламп накаливания, патронов</t>
  </si>
  <si>
    <t>Ремонт групповых щитков, силового предохранительного шкафа</t>
  </si>
  <si>
    <t>Обследование чердачных, подвальных и лест. клеток  на предмет утечки трубопроводов. Слив воды из системы. Проверка на подогрев отопительных приборов с регулировкой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</si>
  <si>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</si>
  <si>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Слив воды из системы. Демонтаж/монтаж полотенцесушителей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</si>
  <si>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</si>
  <si>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Наполнение водой системы отопления. Смена вентилей, клапанов. Очистка канализационной сети</t>
  </si>
  <si>
    <t>Демонтаж/монтаж обделок из листовой стали (парапетов без обделки боковых стенок). Очистка водосточной сети. Очистка кровельных покрытий от снега и наледи.</t>
  </si>
  <si>
    <t>Ремонт дверного блока</t>
  </si>
  <si>
    <t>Ремонт детской площадки</t>
  </si>
  <si>
    <t>Стрижка кустов</t>
  </si>
  <si>
    <t>Покос</t>
  </si>
  <si>
    <t>Аварийные работы. Нет света</t>
  </si>
  <si>
    <t>Аварийные работы. Засор канализации</t>
  </si>
  <si>
    <t>Аварийные работы</t>
  </si>
  <si>
    <t>Техническое обслуживание УУТЭ</t>
  </si>
  <si>
    <t>Промывка и опресовка внутредомовой системы теплопотребления</t>
  </si>
  <si>
    <t>покос не входит</t>
  </si>
  <si>
    <t>двор+убор+кгм</t>
  </si>
  <si>
    <t>Санитарное содержание прилегающей территории, МОП, вывоз кгм, покос, стрижка кустов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</si>
</sst>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2" fontId="42" fillId="33" borderId="0" xfId="0" applyNumberFormat="1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45" fillId="13" borderId="10" xfId="0" applyNumberFormat="1" applyFont="1" applyFill="1" applyBorder="1" applyAlignment="1">
      <alignment horizontal="center" vertical="center"/>
    </xf>
    <xf numFmtId="14" fontId="45" fillId="8" borderId="10" xfId="0" applyNumberFormat="1" applyFont="1" applyFill="1" applyBorder="1" applyAlignment="1">
      <alignment horizontal="center" vertical="center"/>
    </xf>
    <xf numFmtId="14" fontId="45" fillId="9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14" fontId="45" fillId="35" borderId="10" xfId="0" applyNumberFormat="1" applyFont="1" applyFill="1" applyBorder="1" applyAlignment="1">
      <alignment horizontal="center" vertical="center"/>
    </xf>
    <xf numFmtId="14" fontId="45" fillId="11" borderId="10" xfId="0" applyNumberFormat="1" applyFont="1" applyFill="1" applyBorder="1" applyAlignment="1">
      <alignment horizontal="center" vertical="center"/>
    </xf>
    <xf numFmtId="14" fontId="45" fillId="12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14" fontId="45" fillId="36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13" borderId="0" xfId="0" applyFont="1" applyFill="1" applyAlignment="1">
      <alignment vertical="center"/>
    </xf>
    <xf numFmtId="0" fontId="46" fillId="8" borderId="0" xfId="0" applyFont="1" applyFill="1" applyAlignment="1">
      <alignment vertical="center"/>
    </xf>
    <xf numFmtId="0" fontId="46" fillId="9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6" fillId="11" borderId="0" xfId="0" applyFont="1" applyFill="1" applyAlignment="1">
      <alignment vertical="center"/>
    </xf>
    <xf numFmtId="0" fontId="46" fillId="12" borderId="0" xfId="0" applyFont="1" applyFill="1" applyAlignment="1">
      <alignment vertical="center"/>
    </xf>
    <xf numFmtId="0" fontId="46" fillId="36" borderId="0" xfId="0" applyFont="1" applyFill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45" fillId="13" borderId="10" xfId="0" applyNumberFormat="1" applyFont="1" applyFill="1" applyBorder="1" applyAlignment="1">
      <alignment horizontal="center" vertical="center"/>
    </xf>
    <xf numFmtId="4" fontId="45" fillId="8" borderId="10" xfId="0" applyNumberFormat="1" applyFont="1" applyFill="1" applyBorder="1" applyAlignment="1">
      <alignment horizontal="center" vertical="center"/>
    </xf>
    <xf numFmtId="4" fontId="45" fillId="9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11" borderId="10" xfId="0" applyNumberFormat="1" applyFont="1" applyFill="1" applyBorder="1" applyAlignment="1">
      <alignment horizontal="center" vertical="center"/>
    </xf>
    <xf numFmtId="4" fontId="45" fillId="12" borderId="10" xfId="0" applyNumberFormat="1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6" fillId="13" borderId="0" xfId="0" applyFont="1" applyFill="1" applyBorder="1" applyAlignment="1">
      <alignment vertical="center"/>
    </xf>
    <xf numFmtId="0" fontId="46" fillId="8" borderId="0" xfId="0" applyFont="1" applyFill="1" applyBorder="1" applyAlignment="1">
      <alignment vertical="center"/>
    </xf>
    <xf numFmtId="0" fontId="46" fillId="9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46" fillId="36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5" fillId="37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5" fillId="34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13" borderId="10" xfId="0" applyFont="1" applyFill="1" applyBorder="1" applyAlignment="1">
      <alignment horizontal="left" vertical="center" wrapText="1"/>
    </xf>
    <xf numFmtId="0" fontId="45" fillId="9" borderId="10" xfId="0" applyFont="1" applyFill="1" applyBorder="1" applyAlignment="1">
      <alignment horizontal="left" vertical="center" wrapText="1"/>
    </xf>
    <xf numFmtId="0" fontId="45" fillId="11" borderId="10" xfId="0" applyFont="1" applyFill="1" applyBorder="1" applyAlignment="1">
      <alignment horizontal="left" vertical="center" wrapText="1"/>
    </xf>
    <xf numFmtId="0" fontId="45" fillId="35" borderId="20" xfId="0" applyFont="1" applyFill="1" applyBorder="1" applyAlignment="1">
      <alignment horizontal="left" vertical="center" wrapText="1"/>
    </xf>
    <xf numFmtId="0" fontId="45" fillId="35" borderId="21" xfId="0" applyFont="1" applyFill="1" applyBorder="1" applyAlignment="1">
      <alignment horizontal="left" vertical="center" wrapText="1"/>
    </xf>
    <xf numFmtId="0" fontId="45" fillId="35" borderId="19" xfId="0" applyFont="1" applyFill="1" applyBorder="1" applyAlignment="1">
      <alignment horizontal="left" vertical="center" wrapText="1"/>
    </xf>
    <xf numFmtId="0" fontId="45" fillId="12" borderId="10" xfId="0" applyFont="1" applyFill="1" applyBorder="1" applyAlignment="1">
      <alignment horizontal="left" vertical="center" wrapText="1"/>
    </xf>
    <xf numFmtId="0" fontId="45" fillId="8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 indent="2"/>
    </xf>
    <xf numFmtId="4" fontId="42" fillId="33" borderId="0" xfId="0" applyNumberFormat="1" applyFont="1" applyFill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14" fontId="24" fillId="41" borderId="10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left" vertical="center" wrapText="1"/>
    </xf>
    <xf numFmtId="0" fontId="3" fillId="43" borderId="21" xfId="0" applyFont="1" applyFill="1" applyBorder="1" applyAlignment="1">
      <alignment horizontal="left" vertical="center" wrapText="1"/>
    </xf>
    <xf numFmtId="0" fontId="3" fillId="43" borderId="19" xfId="0" applyFont="1" applyFill="1" applyBorder="1" applyAlignment="1">
      <alignment horizontal="left" vertical="center" wrapText="1"/>
    </xf>
    <xf numFmtId="4" fontId="3" fillId="4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4" fillId="33" borderId="20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horizontal="left" vertical="center"/>
    </xf>
    <xf numFmtId="0" fontId="4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02">
      <selection activeCell="F123" sqref="F123"/>
    </sheetView>
  </sheetViews>
  <sheetFormatPr defaultColWidth="9.140625" defaultRowHeight="15" outlineLevelRow="1"/>
  <cols>
    <col min="1" max="1" width="4.140625" style="1" customWidth="1"/>
    <col min="2" max="2" width="18.421875" style="1" customWidth="1"/>
    <col min="3" max="3" width="16.7109375" style="1" customWidth="1"/>
    <col min="4" max="5" width="16.00390625" style="1" customWidth="1"/>
    <col min="6" max="6" width="17.140625" style="1" customWidth="1"/>
    <col min="7" max="7" width="15.28125" style="1" customWidth="1"/>
    <col min="8" max="8" width="15.140625" style="1" customWidth="1"/>
    <col min="9" max="9" width="13.421875" style="1" customWidth="1"/>
    <col min="10" max="10" width="9.140625" style="1" customWidth="1"/>
    <col min="11" max="11" width="11.140625" style="1" customWidth="1"/>
    <col min="12" max="16384" width="9.140625" style="1" customWidth="1"/>
  </cols>
  <sheetData>
    <row r="1" spans="2:6" ht="15.75">
      <c r="B1" s="129" t="s">
        <v>171</v>
      </c>
      <c r="C1" s="129"/>
      <c r="D1" s="129"/>
      <c r="E1" s="129"/>
      <c r="F1" s="129"/>
    </row>
    <row r="2" spans="2:6" ht="15.75">
      <c r="B2" s="129" t="s">
        <v>70</v>
      </c>
      <c r="C2" s="129"/>
      <c r="D2" s="129"/>
      <c r="E2" s="129"/>
      <c r="F2" s="129"/>
    </row>
    <row r="3" ht="15.75">
      <c r="B3" s="110"/>
    </row>
    <row r="4" ht="15.75" hidden="1" outlineLevel="1">
      <c r="B4" s="1" t="s">
        <v>0</v>
      </c>
    </row>
    <row r="5" spans="2:5" ht="15.75" hidden="1" outlineLevel="1">
      <c r="B5" s="1" t="s">
        <v>33</v>
      </c>
      <c r="D5" s="1">
        <v>4627.7</v>
      </c>
      <c r="E5" s="1" t="s">
        <v>34</v>
      </c>
    </row>
    <row r="6" ht="15.75" collapsed="1"/>
    <row r="7" spans="2:7" ht="15.75">
      <c r="B7" s="3" t="s">
        <v>172</v>
      </c>
      <c r="D7" s="4">
        <f>'2016'!F40</f>
        <v>542402.9320000003</v>
      </c>
      <c r="E7" s="1" t="s">
        <v>138</v>
      </c>
      <c r="G7" s="1" t="s">
        <v>122</v>
      </c>
    </row>
    <row r="8" spans="2:7" ht="31.5">
      <c r="B8" s="25" t="s">
        <v>74</v>
      </c>
      <c r="C8" s="26" t="s">
        <v>173</v>
      </c>
      <c r="D8" s="26" t="s">
        <v>1</v>
      </c>
      <c r="E8" s="26" t="s">
        <v>76</v>
      </c>
      <c r="F8" s="26" t="s">
        <v>174</v>
      </c>
      <c r="G8" s="1" t="s">
        <v>126</v>
      </c>
    </row>
    <row r="9" spans="2:9" ht="32.25" customHeight="1">
      <c r="B9" s="7" t="s">
        <v>3</v>
      </c>
      <c r="C9" s="8">
        <v>-116259.7400000001</v>
      </c>
      <c r="D9" s="8">
        <v>769122.88</v>
      </c>
      <c r="E9" s="8">
        <v>754670.44</v>
      </c>
      <c r="F9" s="8">
        <f aca="true" t="shared" si="0" ref="F9:F21">C9-D9+E9</f>
        <v>-130712.18000000017</v>
      </c>
      <c r="G9" s="1" t="s">
        <v>56</v>
      </c>
      <c r="H9" s="1">
        <v>13.85</v>
      </c>
      <c r="I9" s="4">
        <f>H9*H25*12</f>
        <v>769123.74</v>
      </c>
    </row>
    <row r="10" spans="2:9" ht="15.75">
      <c r="B10" s="7" t="s">
        <v>4</v>
      </c>
      <c r="C10" s="8">
        <v>-8889.669999999991</v>
      </c>
      <c r="D10" s="8">
        <v>57753.96</v>
      </c>
      <c r="E10" s="8">
        <v>56668.74</v>
      </c>
      <c r="F10" s="8">
        <f t="shared" si="0"/>
        <v>-9974.889999999992</v>
      </c>
      <c r="G10" s="1" t="s">
        <v>57</v>
      </c>
      <c r="H10" s="1">
        <f>2.09+1.11</f>
        <v>3.2</v>
      </c>
      <c r="I10" s="4">
        <f>H10*H25*12</f>
        <v>177703.68</v>
      </c>
    </row>
    <row r="11" spans="2:9" ht="31.5">
      <c r="B11" s="7" t="s">
        <v>5</v>
      </c>
      <c r="C11" s="8">
        <v>-4346.5899999999965</v>
      </c>
      <c r="D11" s="8">
        <v>28322.76</v>
      </c>
      <c r="E11" s="8">
        <v>27786.15</v>
      </c>
      <c r="F11" s="8">
        <f t="shared" si="0"/>
        <v>-4883.199999999993</v>
      </c>
      <c r="G11" s="1" t="s">
        <v>210</v>
      </c>
      <c r="H11" s="1">
        <f>2.53+0.6</f>
        <v>3.13</v>
      </c>
      <c r="I11" s="4">
        <f>H11*H25*12</f>
        <v>173816.41199999998</v>
      </c>
    </row>
    <row r="12" spans="2:6" ht="31.5">
      <c r="B12" s="7" t="s">
        <v>6</v>
      </c>
      <c r="C12" s="8">
        <v>-2222.3399999999983</v>
      </c>
      <c r="D12" s="8">
        <v>20685.93</v>
      </c>
      <c r="E12" s="8">
        <v>18013.98</v>
      </c>
      <c r="F12" s="8">
        <f t="shared" si="0"/>
        <v>-4894.289999999997</v>
      </c>
    </row>
    <row r="13" spans="2:8" ht="31.5">
      <c r="B13" s="7" t="s">
        <v>7</v>
      </c>
      <c r="C13" s="8">
        <v>-19524.67</v>
      </c>
      <c r="D13" s="8">
        <v>8444.22</v>
      </c>
      <c r="E13" s="8">
        <v>23108.13</v>
      </c>
      <c r="F13" s="8">
        <f t="shared" si="0"/>
        <v>-4860.759999999998</v>
      </c>
      <c r="H13" s="189" t="s">
        <v>209</v>
      </c>
    </row>
    <row r="14" spans="2:6" ht="31.5">
      <c r="B14" s="7" t="s">
        <v>170</v>
      </c>
      <c r="C14" s="8">
        <v>-6254.93</v>
      </c>
      <c r="D14" s="8">
        <f>48240.39-4913.23</f>
        <v>43327.16</v>
      </c>
      <c r="E14" s="8">
        <v>39269.25</v>
      </c>
      <c r="F14" s="8">
        <f t="shared" si="0"/>
        <v>-10312.840000000004</v>
      </c>
    </row>
    <row r="15" spans="2:6" ht="31.5">
      <c r="B15" s="7" t="s">
        <v>8</v>
      </c>
      <c r="C15" s="8">
        <v>-19779.54999999999</v>
      </c>
      <c r="D15" s="8">
        <v>118656.72</v>
      </c>
      <c r="E15" s="8">
        <v>116952.79</v>
      </c>
      <c r="F15" s="8">
        <f t="shared" si="0"/>
        <v>-21483.479999999996</v>
      </c>
    </row>
    <row r="16" spans="2:6" ht="31.5">
      <c r="B16" s="7" t="s">
        <v>177</v>
      </c>
      <c r="C16" s="8">
        <v>0</v>
      </c>
      <c r="D16" s="8">
        <v>5036.4</v>
      </c>
      <c r="E16" s="8">
        <v>4399.91</v>
      </c>
      <c r="F16" s="8">
        <f t="shared" si="0"/>
        <v>-636.4899999999998</v>
      </c>
    </row>
    <row r="17" spans="2:6" ht="31.5">
      <c r="B17" s="7" t="s">
        <v>178</v>
      </c>
      <c r="C17" s="8">
        <v>0</v>
      </c>
      <c r="D17" s="8">
        <v>5419.76</v>
      </c>
      <c r="E17" s="8">
        <v>4475.71</v>
      </c>
      <c r="F17" s="8">
        <f t="shared" si="0"/>
        <v>-944.0500000000002</v>
      </c>
    </row>
    <row r="18" spans="2:6" ht="31.5">
      <c r="B18" s="7" t="s">
        <v>179</v>
      </c>
      <c r="C18" s="8">
        <v>0</v>
      </c>
      <c r="D18" s="8">
        <f>185196-15382.88</f>
        <v>169813.12</v>
      </c>
      <c r="E18" s="8">
        <v>144228.54</v>
      </c>
      <c r="F18" s="8">
        <f t="shared" si="0"/>
        <v>-25584.579999999987</v>
      </c>
    </row>
    <row r="19" spans="2:6" ht="31.5">
      <c r="B19" s="7" t="s">
        <v>180</v>
      </c>
      <c r="C19" s="8">
        <v>0</v>
      </c>
      <c r="D19" s="8">
        <f>34366.82-17.64+17.44</f>
        <v>34366.62</v>
      </c>
      <c r="E19" s="8">
        <v>29979.99</v>
      </c>
      <c r="F19" s="8">
        <f t="shared" si="0"/>
        <v>-4386.630000000001</v>
      </c>
    </row>
    <row r="20" spans="2:6" ht="31.5">
      <c r="B20" s="80" t="s">
        <v>181</v>
      </c>
      <c r="C20" s="8">
        <v>-712.87</v>
      </c>
      <c r="D20" s="8">
        <f>7213.43-585.06</f>
        <v>6628.370000000001</v>
      </c>
      <c r="E20" s="8">
        <v>5520.52</v>
      </c>
      <c r="F20" s="8">
        <f>C20-D20+E20</f>
        <v>-1820.7200000000003</v>
      </c>
    </row>
    <row r="21" spans="2:6" ht="31.5">
      <c r="B21" s="80" t="s">
        <v>182</v>
      </c>
      <c r="C21" s="8">
        <v>0</v>
      </c>
      <c r="D21" s="8">
        <v>30082.2</v>
      </c>
      <c r="E21" s="8">
        <v>25722.79</v>
      </c>
      <c r="F21" s="8">
        <f t="shared" si="0"/>
        <v>-4359.41</v>
      </c>
    </row>
    <row r="22" spans="2:6" ht="15.75">
      <c r="B22" s="7" t="s">
        <v>9</v>
      </c>
      <c r="C22" s="9">
        <f>SUM(C9:C21)</f>
        <v>-177990.36000000004</v>
      </c>
      <c r="D22" s="9">
        <f>SUM(D9:D21)</f>
        <v>1297660.1000000003</v>
      </c>
      <c r="E22" s="9">
        <f>SUM(E9:E21)</f>
        <v>1250796.94</v>
      </c>
      <c r="F22" s="9">
        <f>SUM(F9:F21)</f>
        <v>-224853.5200000001</v>
      </c>
    </row>
    <row r="23" ht="9.75" customHeight="1">
      <c r="B23" s="3"/>
    </row>
    <row r="24" spans="2:7" s="27" customFormat="1" ht="13.5" customHeight="1">
      <c r="B24" s="130" t="s">
        <v>78</v>
      </c>
      <c r="C24" s="130"/>
      <c r="D24" s="130"/>
      <c r="E24" s="130"/>
      <c r="F24" s="130"/>
      <c r="G24" s="130"/>
    </row>
    <row r="25" spans="2:9" s="27" customFormat="1" ht="8.25" customHeight="1">
      <c r="B25" s="112"/>
      <c r="C25" s="112"/>
      <c r="D25" s="112"/>
      <c r="E25" s="112"/>
      <c r="F25" s="112"/>
      <c r="G25" s="112"/>
      <c r="H25" s="27">
        <f>D5</f>
        <v>4627.7</v>
      </c>
      <c r="I25" s="27" t="s">
        <v>90</v>
      </c>
    </row>
    <row r="26" spans="2:8" s="27" customFormat="1" ht="28.5" customHeight="1">
      <c r="B26" s="26" t="s">
        <v>79</v>
      </c>
      <c r="C26" s="190" t="s">
        <v>11</v>
      </c>
      <c r="D26" s="190"/>
      <c r="E26" s="190"/>
      <c r="F26" s="29" t="s">
        <v>12</v>
      </c>
      <c r="H26" s="30"/>
    </row>
    <row r="27" spans="2:11" s="27" customFormat="1" ht="18" customHeight="1">
      <c r="B27" s="26">
        <v>1</v>
      </c>
      <c r="C27" s="191" t="s">
        <v>80</v>
      </c>
      <c r="D27" s="191"/>
      <c r="E27" s="191"/>
      <c r="F27" s="192">
        <f>I10</f>
        <v>177703.68</v>
      </c>
      <c r="H27" s="37"/>
      <c r="I27" s="74" t="s">
        <v>81</v>
      </c>
      <c r="J27" s="25" t="s">
        <v>82</v>
      </c>
      <c r="K27" s="25" t="s">
        <v>83</v>
      </c>
    </row>
    <row r="28" spans="2:11" s="27" customFormat="1" ht="18" customHeight="1">
      <c r="B28" s="26">
        <v>2</v>
      </c>
      <c r="C28" s="191" t="s">
        <v>6</v>
      </c>
      <c r="D28" s="191"/>
      <c r="E28" s="191"/>
      <c r="F28" s="192">
        <f>D12</f>
        <v>20685.93</v>
      </c>
      <c r="H28" s="37"/>
      <c r="I28" s="25"/>
      <c r="J28" s="25">
        <v>4348</v>
      </c>
      <c r="K28" s="25">
        <v>7609</v>
      </c>
    </row>
    <row r="29" spans="2:11" s="27" customFormat="1" ht="31.5" customHeight="1">
      <c r="B29" s="26">
        <v>3</v>
      </c>
      <c r="C29" s="191" t="s">
        <v>211</v>
      </c>
      <c r="D29" s="191"/>
      <c r="E29" s="191"/>
      <c r="F29" s="192">
        <f>I11+F98+F99+F100+F101+F102</f>
        <v>177701.41199999998</v>
      </c>
      <c r="I29" s="25"/>
      <c r="J29" s="25">
        <f>J28*12</f>
        <v>52176</v>
      </c>
      <c r="K29" s="25">
        <f>K28*12</f>
        <v>91308</v>
      </c>
    </row>
    <row r="30" spans="2:11" s="27" customFormat="1" ht="18" customHeight="1">
      <c r="B30" s="26">
        <v>4</v>
      </c>
      <c r="C30" s="191" t="s">
        <v>85</v>
      </c>
      <c r="D30" s="191"/>
      <c r="E30" s="191"/>
      <c r="F30" s="192">
        <f>F31+F32+F33</f>
        <v>70924</v>
      </c>
      <c r="G30" s="67">
        <f>F102</f>
        <v>781</v>
      </c>
      <c r="H30" s="37"/>
      <c r="I30" s="25"/>
      <c r="J30" s="25"/>
      <c r="K30" s="79"/>
    </row>
    <row r="31" spans="2:6" s="27" customFormat="1" ht="16.5" customHeight="1">
      <c r="B31" s="26" t="s">
        <v>13</v>
      </c>
      <c r="C31" s="191" t="s">
        <v>86</v>
      </c>
      <c r="D31" s="191"/>
      <c r="E31" s="191"/>
      <c r="F31" s="192">
        <f>F78+F79+F80+F81+F82+F83+F84+F85+F86+F87+F88+F89+F90+F91+F92+F93+F94</f>
        <v>27275</v>
      </c>
    </row>
    <row r="32" spans="2:8" s="27" customFormat="1" ht="16.5" customHeight="1">
      <c r="B32" s="26" t="s">
        <v>13</v>
      </c>
      <c r="C32" s="191" t="s">
        <v>87</v>
      </c>
      <c r="D32" s="191"/>
      <c r="E32" s="191"/>
      <c r="F32" s="192">
        <f>F56+F57+F58+F59+F60+F61+F62+F63+F64+F65+F66+F67+F68+F69+F70+F71+F72+F73+F74+F75+F76+F77</f>
        <v>26438</v>
      </c>
      <c r="H32" s="37"/>
    </row>
    <row r="33" spans="2:13" s="27" customFormat="1" ht="15.75">
      <c r="B33" s="26" t="s">
        <v>13</v>
      </c>
      <c r="C33" s="191" t="s">
        <v>88</v>
      </c>
      <c r="D33" s="191"/>
      <c r="E33" s="191"/>
      <c r="F33" s="192">
        <f>F95+F96+F97</f>
        <v>17211</v>
      </c>
      <c r="H33" s="126" t="s">
        <v>135</v>
      </c>
      <c r="K33" s="128" t="s">
        <v>128</v>
      </c>
      <c r="L33" s="128"/>
      <c r="M33" s="128"/>
    </row>
    <row r="34" spans="2:13" s="27" customFormat="1" ht="16.5" customHeight="1">
      <c r="B34" s="26">
        <v>5</v>
      </c>
      <c r="C34" s="193" t="s">
        <v>208</v>
      </c>
      <c r="D34" s="193"/>
      <c r="E34" s="193"/>
      <c r="F34" s="192">
        <f>F120</f>
        <v>45981</v>
      </c>
      <c r="H34" s="127"/>
      <c r="I34" s="109">
        <v>950</v>
      </c>
      <c r="K34" s="25" t="s">
        <v>129</v>
      </c>
      <c r="L34" s="25" t="s">
        <v>130</v>
      </c>
      <c r="M34" s="25" t="s">
        <v>131</v>
      </c>
    </row>
    <row r="35" spans="2:13" s="27" customFormat="1" ht="31.5" customHeight="1">
      <c r="B35" s="26">
        <v>6</v>
      </c>
      <c r="C35" s="191" t="s">
        <v>113</v>
      </c>
      <c r="D35" s="191"/>
      <c r="E35" s="191"/>
      <c r="F35" s="192">
        <f>D15</f>
        <v>118656.72</v>
      </c>
      <c r="H35" s="37"/>
      <c r="K35" s="25">
        <f>2*2340</f>
        <v>4680</v>
      </c>
      <c r="L35" s="25">
        <f>200*2</f>
        <v>400</v>
      </c>
      <c r="M35" s="25" t="s">
        <v>132</v>
      </c>
    </row>
    <row r="36" spans="2:13" s="27" customFormat="1" ht="17.25" customHeight="1">
      <c r="B36" s="26">
        <v>7</v>
      </c>
      <c r="C36" s="191" t="s">
        <v>112</v>
      </c>
      <c r="D36" s="191"/>
      <c r="E36" s="191"/>
      <c r="F36" s="192">
        <f>F103+F104+F105+F106+F107+F108</f>
        <v>7365</v>
      </c>
      <c r="H36" s="97"/>
      <c r="I36" s="98"/>
      <c r="K36" s="25">
        <f>2340*2</f>
        <v>4680</v>
      </c>
      <c r="L36" s="25">
        <f>200*2</f>
        <v>400</v>
      </c>
      <c r="M36" s="25" t="s">
        <v>133</v>
      </c>
    </row>
    <row r="37" spans="2:13" s="24" customFormat="1" ht="15.75">
      <c r="B37" s="26">
        <v>8</v>
      </c>
      <c r="C37" s="191" t="s">
        <v>124</v>
      </c>
      <c r="D37" s="191"/>
      <c r="E37" s="191"/>
      <c r="F37" s="192">
        <f>D10+D11</f>
        <v>86076.72</v>
      </c>
      <c r="H37" s="99"/>
      <c r="I37" s="98"/>
      <c r="K37" s="25">
        <f>2340*2</f>
        <v>4680</v>
      </c>
      <c r="L37" s="25">
        <f>200*2</f>
        <v>400</v>
      </c>
      <c r="M37" s="25" t="s">
        <v>134</v>
      </c>
    </row>
    <row r="38" spans="2:13" s="27" customFormat="1" ht="15.75">
      <c r="B38" s="26">
        <v>9</v>
      </c>
      <c r="C38" s="191" t="s">
        <v>7</v>
      </c>
      <c r="D38" s="191"/>
      <c r="E38" s="191"/>
      <c r="F38" s="192">
        <f>D13</f>
        <v>8444.22</v>
      </c>
      <c r="H38" s="37"/>
      <c r="I38" s="98"/>
      <c r="K38" s="25">
        <v>4680</v>
      </c>
      <c r="L38" s="25">
        <v>400</v>
      </c>
      <c r="M38" s="25" t="s">
        <v>136</v>
      </c>
    </row>
    <row r="39" spans="2:13" s="27" customFormat="1" ht="15.75" customHeight="1">
      <c r="B39" s="26">
        <v>10</v>
      </c>
      <c r="C39" s="191" t="s">
        <v>180</v>
      </c>
      <c r="D39" s="191"/>
      <c r="E39" s="191"/>
      <c r="F39" s="192">
        <f>D19</f>
        <v>34366.62</v>
      </c>
      <c r="H39" s="37"/>
      <c r="I39" s="98"/>
      <c r="K39" s="101"/>
      <c r="L39" s="101"/>
      <c r="M39" s="101"/>
    </row>
    <row r="40" spans="2:13" s="27" customFormat="1" ht="18" customHeight="1">
      <c r="B40" s="26">
        <v>11</v>
      </c>
      <c r="C40" s="191" t="s">
        <v>125</v>
      </c>
      <c r="D40" s="191"/>
      <c r="E40" s="191"/>
      <c r="F40" s="192">
        <f>F109+F110+F111+F112+F113+F114+F115+F116+F117+F118+F119</f>
        <v>8950</v>
      </c>
      <c r="G40" s="27" t="s">
        <v>123</v>
      </c>
      <c r="H40" s="37"/>
      <c r="I40" s="98"/>
      <c r="K40" s="101"/>
      <c r="L40" s="101"/>
      <c r="M40" s="101"/>
    </row>
    <row r="41" spans="2:13" s="27" customFormat="1" ht="18" customHeight="1">
      <c r="B41" s="26">
        <v>12</v>
      </c>
      <c r="C41" s="191" t="s">
        <v>177</v>
      </c>
      <c r="D41" s="191"/>
      <c r="E41" s="191"/>
      <c r="F41" s="192">
        <f>D16</f>
        <v>5036.4</v>
      </c>
      <c r="H41" s="37"/>
      <c r="I41" s="98"/>
      <c r="K41" s="37"/>
      <c r="L41" s="37"/>
      <c r="M41" s="37"/>
    </row>
    <row r="42" spans="2:13" s="27" customFormat="1" ht="18" customHeight="1">
      <c r="B42" s="26">
        <v>13</v>
      </c>
      <c r="C42" s="191" t="s">
        <v>178</v>
      </c>
      <c r="D42" s="191"/>
      <c r="E42" s="191"/>
      <c r="F42" s="192">
        <f>D17</f>
        <v>5419.76</v>
      </c>
      <c r="H42" s="37"/>
      <c r="I42" s="98"/>
      <c r="K42" s="37"/>
      <c r="L42" s="37"/>
      <c r="M42" s="37"/>
    </row>
    <row r="43" spans="2:13" s="27" customFormat="1" ht="18" customHeight="1">
      <c r="B43" s="26">
        <v>14</v>
      </c>
      <c r="C43" s="191" t="s">
        <v>179</v>
      </c>
      <c r="D43" s="191"/>
      <c r="E43" s="191"/>
      <c r="F43" s="192">
        <f>D18</f>
        <v>169813.12</v>
      </c>
      <c r="H43" s="37"/>
      <c r="I43" s="98"/>
      <c r="K43" s="37"/>
      <c r="L43" s="37"/>
      <c r="M43" s="37"/>
    </row>
    <row r="44" spans="2:13" s="27" customFormat="1" ht="18.75" customHeight="1">
      <c r="B44" s="26">
        <v>15</v>
      </c>
      <c r="C44" s="191" t="s">
        <v>170</v>
      </c>
      <c r="D44" s="191"/>
      <c r="E44" s="191"/>
      <c r="F44" s="192">
        <f>D14</f>
        <v>43327.16</v>
      </c>
      <c r="H44" s="37"/>
      <c r="I44" s="98"/>
      <c r="K44" s="37"/>
      <c r="L44" s="37"/>
      <c r="M44" s="37"/>
    </row>
    <row r="45" spans="2:13" s="27" customFormat="1" ht="18" customHeight="1">
      <c r="B45" s="26">
        <v>16</v>
      </c>
      <c r="C45" s="191" t="s">
        <v>181</v>
      </c>
      <c r="D45" s="191"/>
      <c r="E45" s="191"/>
      <c r="F45" s="192">
        <f>D20</f>
        <v>6628.370000000001</v>
      </c>
      <c r="H45" s="37"/>
      <c r="I45" s="98"/>
      <c r="K45" s="37"/>
      <c r="L45" s="37"/>
      <c r="M45" s="37"/>
    </row>
    <row r="46" spans="2:13" s="27" customFormat="1" ht="18" customHeight="1">
      <c r="B46" s="26">
        <v>17</v>
      </c>
      <c r="C46" s="191" t="s">
        <v>182</v>
      </c>
      <c r="D46" s="191"/>
      <c r="E46" s="191"/>
      <c r="F46" s="192">
        <f>D21</f>
        <v>30082.2</v>
      </c>
      <c r="H46" s="37"/>
      <c r="I46" s="98"/>
      <c r="K46" s="37"/>
      <c r="L46" s="37"/>
      <c r="M46" s="37"/>
    </row>
    <row r="47" spans="2:13" s="27" customFormat="1" ht="20.25" customHeight="1">
      <c r="B47" s="194"/>
      <c r="C47" s="195" t="s">
        <v>89</v>
      </c>
      <c r="D47" s="195"/>
      <c r="E47" s="195"/>
      <c r="F47" s="23">
        <f>F27+F28+F29+F30+F34+F35+F36+F37+F38+F39+F40+F41+F42+F43+F44+F45+F46</f>
        <v>1017162.3119999999</v>
      </c>
      <c r="H47" s="37"/>
      <c r="I47" s="98"/>
      <c r="K47" s="37"/>
      <c r="L47" s="37"/>
      <c r="M47" s="37"/>
    </row>
    <row r="48" spans="2:13" s="27" customFormat="1" ht="18" customHeight="1">
      <c r="B48" s="40"/>
      <c r="H48" s="37"/>
      <c r="I48" s="98"/>
      <c r="K48" s="37"/>
      <c r="L48" s="37"/>
      <c r="M48" s="37"/>
    </row>
    <row r="49" spans="2:13" ht="15.75">
      <c r="B49" s="68" t="s">
        <v>175</v>
      </c>
      <c r="C49" s="69"/>
      <c r="D49" s="69"/>
      <c r="E49" s="70"/>
      <c r="F49" s="36">
        <f>D7+D22-F47</f>
        <v>822900.7200000007</v>
      </c>
      <c r="H49" s="96"/>
      <c r="I49" s="100"/>
      <c r="K49" s="96"/>
      <c r="L49" s="96"/>
      <c r="M49" s="96"/>
    </row>
    <row r="50" spans="2:13" ht="15.75">
      <c r="B50" s="68" t="s">
        <v>176</v>
      </c>
      <c r="C50" s="69"/>
      <c r="D50" s="69"/>
      <c r="E50" s="70"/>
      <c r="F50" s="36">
        <f>F22</f>
        <v>-224853.5200000001</v>
      </c>
      <c r="H50" s="96"/>
      <c r="I50" s="100"/>
      <c r="K50" s="96"/>
      <c r="L50" s="96"/>
      <c r="M50" s="96"/>
    </row>
    <row r="51" spans="2:13" ht="15.75">
      <c r="B51" s="71" t="s">
        <v>116</v>
      </c>
      <c r="C51" s="72"/>
      <c r="D51" s="72"/>
      <c r="E51" s="73"/>
      <c r="F51" s="36">
        <f>F49+F50</f>
        <v>598047.2000000005</v>
      </c>
      <c r="H51" s="96"/>
      <c r="I51" s="96"/>
      <c r="K51" s="96"/>
      <c r="L51" s="96"/>
      <c r="M51" s="96"/>
    </row>
    <row r="52" ht="12" customHeight="1">
      <c r="B52" s="11"/>
    </row>
    <row r="53" spans="2:6" s="50" customFormat="1" ht="12.75" customHeight="1">
      <c r="B53" s="125" t="s">
        <v>69</v>
      </c>
      <c r="C53" s="125"/>
      <c r="D53" s="125"/>
      <c r="E53" s="125"/>
      <c r="F53" s="125"/>
    </row>
    <row r="54" spans="2:6" s="50" customFormat="1" ht="12" customHeight="1">
      <c r="B54" s="111"/>
      <c r="C54" s="1"/>
      <c r="D54" s="1"/>
      <c r="E54" s="1"/>
      <c r="F54" s="1"/>
    </row>
    <row r="55" spans="1:6" s="50" customFormat="1" ht="15.75">
      <c r="A55" s="161" t="s">
        <v>183</v>
      </c>
      <c r="B55" s="161" t="s">
        <v>25</v>
      </c>
      <c r="C55" s="162" t="s">
        <v>26</v>
      </c>
      <c r="D55" s="163"/>
      <c r="E55" s="164"/>
      <c r="F55" s="161" t="s">
        <v>184</v>
      </c>
    </row>
    <row r="56" spans="1:7" s="50" customFormat="1" ht="15" customHeight="1">
      <c r="A56" s="161"/>
      <c r="B56" s="165" t="s">
        <v>185</v>
      </c>
      <c r="C56" s="166" t="s">
        <v>186</v>
      </c>
      <c r="D56" s="167"/>
      <c r="E56" s="168"/>
      <c r="F56" s="169">
        <f>170*7</f>
        <v>1190</v>
      </c>
      <c r="G56" s="94"/>
    </row>
    <row r="57" spans="1:7" s="50" customFormat="1" ht="14.25" customHeight="1">
      <c r="A57" s="161"/>
      <c r="B57" s="170">
        <v>42761</v>
      </c>
      <c r="C57" s="166" t="s">
        <v>187</v>
      </c>
      <c r="D57" s="167"/>
      <c r="E57" s="168"/>
      <c r="F57" s="169">
        <v>627</v>
      </c>
      <c r="G57" s="94"/>
    </row>
    <row r="58" spans="1:7" s="50" customFormat="1" ht="15.75" customHeight="1">
      <c r="A58" s="161"/>
      <c r="B58" s="170">
        <v>42761</v>
      </c>
      <c r="C58" s="166" t="s">
        <v>187</v>
      </c>
      <c r="D58" s="167"/>
      <c r="E58" s="168"/>
      <c r="F58" s="169">
        <v>586</v>
      </c>
      <c r="G58" s="94"/>
    </row>
    <row r="59" spans="1:7" s="50" customFormat="1" ht="15.75" customHeight="1">
      <c r="A59" s="161"/>
      <c r="B59" s="170">
        <v>42782</v>
      </c>
      <c r="C59" s="166" t="s">
        <v>150</v>
      </c>
      <c r="D59" s="167"/>
      <c r="E59" s="168"/>
      <c r="F59" s="169">
        <v>7147</v>
      </c>
      <c r="G59" s="94"/>
    </row>
    <row r="60" spans="1:7" s="50" customFormat="1" ht="15.75" customHeight="1">
      <c r="A60" s="161"/>
      <c r="B60" s="170">
        <v>42782</v>
      </c>
      <c r="C60" s="166" t="s">
        <v>150</v>
      </c>
      <c r="D60" s="167"/>
      <c r="E60" s="168"/>
      <c r="F60" s="169">
        <v>7147</v>
      </c>
      <c r="G60" s="94"/>
    </row>
    <row r="61" spans="1:7" s="50" customFormat="1" ht="15.75" customHeight="1">
      <c r="A61" s="161"/>
      <c r="B61" s="170">
        <v>42808</v>
      </c>
      <c r="C61" s="166" t="s">
        <v>187</v>
      </c>
      <c r="D61" s="167"/>
      <c r="E61" s="168"/>
      <c r="F61" s="169">
        <v>629</v>
      </c>
      <c r="G61" s="94"/>
    </row>
    <row r="62" spans="1:7" s="50" customFormat="1" ht="15.75" customHeight="1">
      <c r="A62" s="161"/>
      <c r="B62" s="170">
        <v>42811</v>
      </c>
      <c r="C62" s="166" t="s">
        <v>188</v>
      </c>
      <c r="D62" s="167"/>
      <c r="E62" s="168"/>
      <c r="F62" s="169">
        <v>626</v>
      </c>
      <c r="G62" s="94"/>
    </row>
    <row r="63" spans="1:7" s="50" customFormat="1" ht="15.75" customHeight="1">
      <c r="A63" s="171"/>
      <c r="B63" s="170">
        <v>42853</v>
      </c>
      <c r="C63" s="166" t="s">
        <v>189</v>
      </c>
      <c r="D63" s="167"/>
      <c r="E63" s="168"/>
      <c r="F63" s="169">
        <v>463</v>
      </c>
      <c r="G63" s="94"/>
    </row>
    <row r="64" spans="1:7" s="50" customFormat="1" ht="15.75" customHeight="1">
      <c r="A64" s="171"/>
      <c r="B64" s="170">
        <v>42957</v>
      </c>
      <c r="C64" s="166" t="s">
        <v>187</v>
      </c>
      <c r="D64" s="167"/>
      <c r="E64" s="168"/>
      <c r="F64" s="169">
        <v>798</v>
      </c>
      <c r="G64" s="94"/>
    </row>
    <row r="65" spans="1:7" s="50" customFormat="1" ht="15.75" customHeight="1">
      <c r="A65" s="171"/>
      <c r="B65" s="170">
        <v>42970</v>
      </c>
      <c r="C65" s="166" t="s">
        <v>190</v>
      </c>
      <c r="D65" s="167"/>
      <c r="E65" s="168"/>
      <c r="F65" s="169">
        <v>425</v>
      </c>
      <c r="G65" s="94"/>
    </row>
    <row r="66" spans="1:7" s="50" customFormat="1" ht="15.75" customHeight="1">
      <c r="A66" s="171"/>
      <c r="B66" s="170">
        <v>42978</v>
      </c>
      <c r="C66" s="166" t="s">
        <v>191</v>
      </c>
      <c r="D66" s="167"/>
      <c r="E66" s="168"/>
      <c r="F66" s="169">
        <v>340</v>
      </c>
      <c r="G66" s="94"/>
    </row>
    <row r="67" spans="1:7" s="50" customFormat="1" ht="15.75" customHeight="1">
      <c r="A67" s="171"/>
      <c r="B67" s="170">
        <v>43008</v>
      </c>
      <c r="C67" s="166" t="s">
        <v>191</v>
      </c>
      <c r="D67" s="167"/>
      <c r="E67" s="168"/>
      <c r="F67" s="169">
        <v>340</v>
      </c>
      <c r="G67" s="94"/>
    </row>
    <row r="68" spans="1:7" s="50" customFormat="1" ht="15.75" customHeight="1">
      <c r="A68" s="171"/>
      <c r="B68" s="170">
        <v>42990</v>
      </c>
      <c r="C68" s="166" t="s">
        <v>187</v>
      </c>
      <c r="D68" s="167"/>
      <c r="E68" s="168"/>
      <c r="F68" s="169">
        <v>725</v>
      </c>
      <c r="G68" s="94"/>
    </row>
    <row r="69" spans="1:7" s="50" customFormat="1" ht="15.75" customHeight="1">
      <c r="A69" s="171"/>
      <c r="B69" s="170">
        <v>42991</v>
      </c>
      <c r="C69" s="166" t="s">
        <v>187</v>
      </c>
      <c r="D69" s="167"/>
      <c r="E69" s="168"/>
      <c r="F69" s="169">
        <v>851</v>
      </c>
      <c r="G69" s="94"/>
    </row>
    <row r="70" spans="1:7" s="50" customFormat="1" ht="15.75" customHeight="1">
      <c r="A70" s="171"/>
      <c r="B70" s="170">
        <v>43033</v>
      </c>
      <c r="C70" s="166" t="s">
        <v>192</v>
      </c>
      <c r="D70" s="167"/>
      <c r="E70" s="168"/>
      <c r="F70" s="169">
        <v>631</v>
      </c>
      <c r="G70" s="94"/>
    </row>
    <row r="71" spans="1:7" s="50" customFormat="1" ht="15.75" customHeight="1">
      <c r="A71" s="171"/>
      <c r="B71" s="170">
        <v>43038</v>
      </c>
      <c r="C71" s="166" t="s">
        <v>192</v>
      </c>
      <c r="D71" s="167"/>
      <c r="E71" s="168"/>
      <c r="F71" s="169">
        <v>631</v>
      </c>
      <c r="G71" s="94"/>
    </row>
    <row r="72" spans="1:7" s="50" customFormat="1" ht="15.75" customHeight="1">
      <c r="A72" s="171"/>
      <c r="B72" s="170">
        <v>43039</v>
      </c>
      <c r="C72" s="166" t="s">
        <v>191</v>
      </c>
      <c r="D72" s="167"/>
      <c r="E72" s="168"/>
      <c r="F72" s="169">
        <v>340</v>
      </c>
      <c r="G72" s="94"/>
    </row>
    <row r="73" spans="1:7" s="50" customFormat="1" ht="15.75" customHeight="1">
      <c r="A73" s="171"/>
      <c r="B73" s="170">
        <v>43059</v>
      </c>
      <c r="C73" s="166" t="s">
        <v>187</v>
      </c>
      <c r="D73" s="167"/>
      <c r="E73" s="168"/>
      <c r="F73" s="169">
        <v>691</v>
      </c>
      <c r="G73" s="94"/>
    </row>
    <row r="74" spans="1:7" s="50" customFormat="1" ht="15.75" customHeight="1">
      <c r="A74" s="171"/>
      <c r="B74" s="170">
        <v>43069</v>
      </c>
      <c r="C74" s="166" t="s">
        <v>191</v>
      </c>
      <c r="D74" s="167"/>
      <c r="E74" s="168"/>
      <c r="F74" s="169">
        <v>340</v>
      </c>
      <c r="G74" s="94"/>
    </row>
    <row r="75" spans="1:7" s="50" customFormat="1" ht="15.75" customHeight="1">
      <c r="A75" s="171"/>
      <c r="B75" s="170">
        <v>43098</v>
      </c>
      <c r="C75" s="166" t="s">
        <v>191</v>
      </c>
      <c r="D75" s="167"/>
      <c r="E75" s="168"/>
      <c r="F75" s="169">
        <v>340</v>
      </c>
      <c r="G75" s="94"/>
    </row>
    <row r="76" spans="1:7" s="50" customFormat="1" ht="15.75" customHeight="1">
      <c r="A76" s="171"/>
      <c r="B76" s="170">
        <v>43082</v>
      </c>
      <c r="C76" s="166" t="s">
        <v>187</v>
      </c>
      <c r="D76" s="167"/>
      <c r="E76" s="168"/>
      <c r="F76" s="169">
        <v>1070</v>
      </c>
      <c r="G76" s="94"/>
    </row>
    <row r="77" spans="1:7" s="50" customFormat="1" ht="15.75" customHeight="1">
      <c r="A77" s="171"/>
      <c r="B77" s="170">
        <v>43091</v>
      </c>
      <c r="C77" s="166" t="s">
        <v>193</v>
      </c>
      <c r="D77" s="167"/>
      <c r="E77" s="168"/>
      <c r="F77" s="169">
        <v>501</v>
      </c>
      <c r="G77" s="94"/>
    </row>
    <row r="78" spans="1:7" s="50" customFormat="1" ht="15.75" customHeight="1">
      <c r="A78" s="161"/>
      <c r="B78" s="170">
        <v>42745</v>
      </c>
      <c r="C78" s="166" t="s">
        <v>194</v>
      </c>
      <c r="D78" s="167"/>
      <c r="E78" s="168"/>
      <c r="F78" s="172">
        <v>442</v>
      </c>
      <c r="G78" s="94"/>
    </row>
    <row r="79" spans="1:7" s="50" customFormat="1" ht="15.75" customHeight="1">
      <c r="A79" s="161"/>
      <c r="B79" s="170">
        <v>42838</v>
      </c>
      <c r="C79" s="166" t="s">
        <v>195</v>
      </c>
      <c r="D79" s="167"/>
      <c r="E79" s="168"/>
      <c r="F79" s="172">
        <v>654</v>
      </c>
      <c r="G79" s="94"/>
    </row>
    <row r="80" spans="1:7" s="50" customFormat="1" ht="15.75" customHeight="1">
      <c r="A80" s="161"/>
      <c r="B80" s="170">
        <v>42878</v>
      </c>
      <c r="C80" s="166" t="s">
        <v>195</v>
      </c>
      <c r="D80" s="167"/>
      <c r="E80" s="168"/>
      <c r="F80" s="172">
        <v>654</v>
      </c>
      <c r="G80" s="94"/>
    </row>
    <row r="81" spans="1:7" s="82" customFormat="1" ht="15.75" customHeight="1">
      <c r="A81" s="161"/>
      <c r="B81" s="170">
        <v>42944</v>
      </c>
      <c r="C81" s="166" t="s">
        <v>195</v>
      </c>
      <c r="D81" s="167"/>
      <c r="E81" s="168"/>
      <c r="F81" s="172">
        <v>654</v>
      </c>
      <c r="G81" s="95"/>
    </row>
    <row r="82" spans="1:7" s="82" customFormat="1" ht="30" customHeight="1">
      <c r="A82" s="161"/>
      <c r="B82" s="170">
        <v>42949</v>
      </c>
      <c r="C82" s="166" t="s">
        <v>196</v>
      </c>
      <c r="D82" s="167"/>
      <c r="E82" s="168"/>
      <c r="F82" s="172">
        <v>966</v>
      </c>
      <c r="G82" s="95"/>
    </row>
    <row r="83" spans="1:7" s="50" customFormat="1" ht="15.75" customHeight="1">
      <c r="A83" s="161"/>
      <c r="B83" s="170">
        <v>42949</v>
      </c>
      <c r="C83" s="166" t="s">
        <v>196</v>
      </c>
      <c r="D83" s="167"/>
      <c r="E83" s="168"/>
      <c r="F83" s="172">
        <v>1243</v>
      </c>
      <c r="G83" s="94"/>
    </row>
    <row r="84" spans="1:7" ht="15.75" customHeight="1">
      <c r="A84" s="161"/>
      <c r="B84" s="170">
        <v>42957</v>
      </c>
      <c r="C84" s="166" t="s">
        <v>197</v>
      </c>
      <c r="D84" s="167"/>
      <c r="E84" s="168"/>
      <c r="F84" s="172">
        <v>756</v>
      </c>
      <c r="G84" s="96"/>
    </row>
    <row r="85" spans="1:6" ht="15.75" customHeight="1">
      <c r="A85" s="161"/>
      <c r="B85" s="170">
        <v>43006</v>
      </c>
      <c r="C85" s="166" t="s">
        <v>198</v>
      </c>
      <c r="D85" s="167"/>
      <c r="E85" s="168"/>
      <c r="F85" s="172">
        <v>11723</v>
      </c>
    </row>
    <row r="86" spans="1:7" s="50" customFormat="1" ht="15.75" customHeight="1">
      <c r="A86" s="161"/>
      <c r="B86" s="170">
        <v>43007</v>
      </c>
      <c r="C86" s="166" t="s">
        <v>195</v>
      </c>
      <c r="D86" s="167"/>
      <c r="E86" s="168"/>
      <c r="F86" s="172">
        <v>1031</v>
      </c>
      <c r="G86" s="94"/>
    </row>
    <row r="87" spans="1:7" s="50" customFormat="1" ht="15.75" customHeight="1">
      <c r="A87" s="161"/>
      <c r="B87" s="170">
        <v>43017</v>
      </c>
      <c r="C87" s="166" t="s">
        <v>195</v>
      </c>
      <c r="D87" s="167"/>
      <c r="E87" s="168"/>
      <c r="F87" s="172">
        <v>1031</v>
      </c>
      <c r="G87" s="94"/>
    </row>
    <row r="88" spans="1:7" s="50" customFormat="1" ht="15.75" customHeight="1">
      <c r="A88" s="161"/>
      <c r="B88" s="170">
        <v>43025</v>
      </c>
      <c r="C88" s="166" t="s">
        <v>195</v>
      </c>
      <c r="D88" s="167"/>
      <c r="E88" s="168"/>
      <c r="F88" s="172">
        <v>2416</v>
      </c>
      <c r="G88" s="94"/>
    </row>
    <row r="89" spans="1:7" s="50" customFormat="1" ht="15.75" customHeight="1">
      <c r="A89" s="161"/>
      <c r="B89" s="170">
        <v>43030</v>
      </c>
      <c r="C89" s="166" t="s">
        <v>195</v>
      </c>
      <c r="D89" s="167"/>
      <c r="E89" s="168"/>
      <c r="F89" s="172">
        <v>1031</v>
      </c>
      <c r="G89" s="94"/>
    </row>
    <row r="90" spans="1:7" s="50" customFormat="1" ht="15.75" customHeight="1">
      <c r="A90" s="161"/>
      <c r="B90" s="170">
        <v>43032</v>
      </c>
      <c r="C90" s="166" t="s">
        <v>195</v>
      </c>
      <c r="D90" s="167"/>
      <c r="E90" s="168"/>
      <c r="F90" s="172">
        <v>2039</v>
      </c>
      <c r="G90" s="94"/>
    </row>
    <row r="91" spans="1:7" s="50" customFormat="1" ht="15.75" customHeight="1">
      <c r="A91" s="161"/>
      <c r="B91" s="170">
        <v>43035</v>
      </c>
      <c r="C91" s="166" t="s">
        <v>197</v>
      </c>
      <c r="D91" s="167"/>
      <c r="E91" s="168"/>
      <c r="F91" s="172">
        <v>673</v>
      </c>
      <c r="G91" s="94"/>
    </row>
    <row r="92" spans="1:7" s="50" customFormat="1" ht="15.75" customHeight="1">
      <c r="A92" s="161"/>
      <c r="B92" s="170">
        <v>43053</v>
      </c>
      <c r="C92" s="166" t="s">
        <v>195</v>
      </c>
      <c r="D92" s="167"/>
      <c r="E92" s="168"/>
      <c r="F92" s="172">
        <v>654</v>
      </c>
      <c r="G92" s="94"/>
    </row>
    <row r="93" spans="1:7" s="50" customFormat="1" ht="15.75" customHeight="1">
      <c r="A93" s="161"/>
      <c r="B93" s="170">
        <v>43053</v>
      </c>
      <c r="C93" s="166" t="s">
        <v>195</v>
      </c>
      <c r="D93" s="167"/>
      <c r="E93" s="168"/>
      <c r="F93" s="172">
        <v>654</v>
      </c>
      <c r="G93" s="94"/>
    </row>
    <row r="94" spans="1:7" s="50" customFormat="1" ht="15.75" customHeight="1">
      <c r="A94" s="161"/>
      <c r="B94" s="170">
        <v>43053</v>
      </c>
      <c r="C94" s="166" t="s">
        <v>195</v>
      </c>
      <c r="D94" s="167"/>
      <c r="E94" s="168"/>
      <c r="F94" s="172">
        <v>654</v>
      </c>
      <c r="G94" s="94"/>
    </row>
    <row r="95" spans="1:7" s="50" customFormat="1" ht="15.75" customHeight="1">
      <c r="A95" s="161"/>
      <c r="B95" s="170">
        <v>42755</v>
      </c>
      <c r="C95" s="166" t="s">
        <v>199</v>
      </c>
      <c r="D95" s="167"/>
      <c r="E95" s="168"/>
      <c r="F95" s="173">
        <v>6524</v>
      </c>
      <c r="G95" s="94"/>
    </row>
    <row r="96" spans="1:7" s="50" customFormat="1" ht="15.75" customHeight="1">
      <c r="A96" s="161"/>
      <c r="B96" s="170">
        <v>42851</v>
      </c>
      <c r="C96" s="166" t="s">
        <v>200</v>
      </c>
      <c r="D96" s="167"/>
      <c r="E96" s="168"/>
      <c r="F96" s="173">
        <v>2161</v>
      </c>
      <c r="G96" s="94"/>
    </row>
    <row r="97" spans="1:7" s="50" customFormat="1" ht="15.75" customHeight="1">
      <c r="A97" s="161"/>
      <c r="B97" s="170">
        <v>42908</v>
      </c>
      <c r="C97" s="166" t="s">
        <v>201</v>
      </c>
      <c r="D97" s="167"/>
      <c r="E97" s="168"/>
      <c r="F97" s="173">
        <v>8526</v>
      </c>
      <c r="G97" s="94"/>
    </row>
    <row r="98" spans="1:7" s="50" customFormat="1" ht="15.75" customHeight="1">
      <c r="A98" s="161"/>
      <c r="B98" s="170">
        <v>42855</v>
      </c>
      <c r="C98" s="166" t="s">
        <v>202</v>
      </c>
      <c r="D98" s="167"/>
      <c r="E98" s="168"/>
      <c r="F98" s="171">
        <v>761</v>
      </c>
      <c r="G98" s="94"/>
    </row>
    <row r="99" spans="1:7" s="50" customFormat="1" ht="15.75">
      <c r="A99" s="161"/>
      <c r="B99" s="170">
        <v>42886</v>
      </c>
      <c r="C99" s="166" t="s">
        <v>203</v>
      </c>
      <c r="D99" s="167"/>
      <c r="E99" s="168"/>
      <c r="F99" s="171">
        <v>781</v>
      </c>
      <c r="G99" s="94"/>
    </row>
    <row r="100" spans="1:7" s="50" customFormat="1" ht="15.75">
      <c r="A100" s="161"/>
      <c r="B100" s="170">
        <v>42947</v>
      </c>
      <c r="C100" s="166" t="s">
        <v>203</v>
      </c>
      <c r="D100" s="167"/>
      <c r="E100" s="168"/>
      <c r="F100" s="171">
        <v>781</v>
      </c>
      <c r="G100" s="94"/>
    </row>
    <row r="101" spans="1:7" s="50" customFormat="1" ht="29.25" customHeight="1">
      <c r="A101" s="161"/>
      <c r="B101" s="170">
        <v>42978</v>
      </c>
      <c r="C101" s="166" t="s">
        <v>203</v>
      </c>
      <c r="D101" s="167"/>
      <c r="E101" s="168"/>
      <c r="F101" s="171">
        <v>781</v>
      </c>
      <c r="G101" s="94"/>
    </row>
    <row r="102" spans="1:6" ht="15.75">
      <c r="A102" s="161"/>
      <c r="B102" s="170">
        <v>43039</v>
      </c>
      <c r="C102" s="166" t="s">
        <v>203</v>
      </c>
      <c r="D102" s="167"/>
      <c r="E102" s="168"/>
      <c r="F102" s="171">
        <v>781</v>
      </c>
    </row>
    <row r="103" spans="1:6" ht="15.75">
      <c r="A103" s="161"/>
      <c r="B103" s="170">
        <v>42736</v>
      </c>
      <c r="C103" s="183" t="s">
        <v>204</v>
      </c>
      <c r="D103" s="184"/>
      <c r="E103" s="185"/>
      <c r="F103" s="186">
        <v>1035</v>
      </c>
    </row>
    <row r="104" spans="1:6" ht="15.75">
      <c r="A104" s="161"/>
      <c r="B104" s="170">
        <v>42792</v>
      </c>
      <c r="C104" s="183" t="s">
        <v>205</v>
      </c>
      <c r="D104" s="184"/>
      <c r="E104" s="185"/>
      <c r="F104" s="186">
        <v>1380</v>
      </c>
    </row>
    <row r="105" spans="1:6" ht="15.75">
      <c r="A105" s="161"/>
      <c r="B105" s="170">
        <v>42795</v>
      </c>
      <c r="C105" s="183" t="s">
        <v>205</v>
      </c>
      <c r="D105" s="184"/>
      <c r="E105" s="185"/>
      <c r="F105" s="187">
        <v>1380</v>
      </c>
    </row>
    <row r="106" spans="1:6" ht="15.75">
      <c r="A106" s="161"/>
      <c r="B106" s="170">
        <v>42956</v>
      </c>
      <c r="C106" s="183" t="s">
        <v>205</v>
      </c>
      <c r="D106" s="184"/>
      <c r="E106" s="185"/>
      <c r="F106" s="187">
        <v>1380</v>
      </c>
    </row>
    <row r="107" spans="1:6" ht="15.75">
      <c r="A107" s="161"/>
      <c r="B107" s="170">
        <v>42966</v>
      </c>
      <c r="C107" s="183" t="s">
        <v>204</v>
      </c>
      <c r="D107" s="184"/>
      <c r="E107" s="185"/>
      <c r="F107" s="186">
        <v>690</v>
      </c>
    </row>
    <row r="108" spans="1:6" ht="15.75">
      <c r="A108" s="161"/>
      <c r="B108" s="170">
        <v>42894</v>
      </c>
      <c r="C108" s="183" t="s">
        <v>206</v>
      </c>
      <c r="D108" s="184"/>
      <c r="E108" s="185"/>
      <c r="F108" s="186">
        <f>1500*1</f>
        <v>1500</v>
      </c>
    </row>
    <row r="109" spans="1:6" ht="15.75">
      <c r="A109" s="161"/>
      <c r="B109" s="170">
        <v>42755</v>
      </c>
      <c r="C109" s="183" t="s">
        <v>207</v>
      </c>
      <c r="D109" s="184"/>
      <c r="E109" s="185"/>
      <c r="F109" s="188">
        <v>950</v>
      </c>
    </row>
    <row r="110" spans="1:6" ht="15.75">
      <c r="A110" s="161"/>
      <c r="B110" s="170">
        <v>42786</v>
      </c>
      <c r="C110" s="183" t="s">
        <v>207</v>
      </c>
      <c r="D110" s="184"/>
      <c r="E110" s="185"/>
      <c r="F110" s="188">
        <v>800</v>
      </c>
    </row>
    <row r="111" spans="1:6" ht="15.75">
      <c r="A111" s="161"/>
      <c r="B111" s="170">
        <v>42845</v>
      </c>
      <c r="C111" s="183" t="s">
        <v>207</v>
      </c>
      <c r="D111" s="184"/>
      <c r="E111" s="185"/>
      <c r="F111" s="188">
        <v>800</v>
      </c>
    </row>
    <row r="112" spans="1:6" ht="15.75">
      <c r="A112" s="161"/>
      <c r="B112" s="170">
        <v>42877</v>
      </c>
      <c r="C112" s="183" t="s">
        <v>207</v>
      </c>
      <c r="D112" s="184"/>
      <c r="E112" s="185"/>
      <c r="F112" s="188">
        <v>800</v>
      </c>
    </row>
    <row r="113" spans="1:6" ht="15.75">
      <c r="A113" s="161"/>
      <c r="B113" s="170">
        <v>42906</v>
      </c>
      <c r="C113" s="183" t="s">
        <v>207</v>
      </c>
      <c r="D113" s="184"/>
      <c r="E113" s="185"/>
      <c r="F113" s="188">
        <v>800</v>
      </c>
    </row>
    <row r="114" spans="1:6" ht="15.75">
      <c r="A114" s="161"/>
      <c r="B114" s="170">
        <v>42936</v>
      </c>
      <c r="C114" s="183" t="s">
        <v>207</v>
      </c>
      <c r="D114" s="184"/>
      <c r="E114" s="185"/>
      <c r="F114" s="188">
        <v>800</v>
      </c>
    </row>
    <row r="115" spans="1:6" ht="15.75">
      <c r="A115" s="161"/>
      <c r="B115" s="170">
        <v>42968</v>
      </c>
      <c r="C115" s="183" t="s">
        <v>207</v>
      </c>
      <c r="D115" s="184"/>
      <c r="E115" s="185"/>
      <c r="F115" s="188">
        <v>800</v>
      </c>
    </row>
    <row r="116" spans="1:6" ht="15.75">
      <c r="A116" s="161"/>
      <c r="B116" s="170">
        <v>42998</v>
      </c>
      <c r="C116" s="183" t="s">
        <v>207</v>
      </c>
      <c r="D116" s="184"/>
      <c r="E116" s="185"/>
      <c r="F116" s="188">
        <v>800</v>
      </c>
    </row>
    <row r="117" spans="1:6" ht="15.75">
      <c r="A117" s="161"/>
      <c r="B117" s="170">
        <v>43033</v>
      </c>
      <c r="C117" s="183" t="s">
        <v>207</v>
      </c>
      <c r="D117" s="184"/>
      <c r="E117" s="185"/>
      <c r="F117" s="188">
        <v>800</v>
      </c>
    </row>
    <row r="118" spans="1:6" ht="15.75">
      <c r="A118" s="161"/>
      <c r="B118" s="170">
        <v>43059</v>
      </c>
      <c r="C118" s="183" t="s">
        <v>207</v>
      </c>
      <c r="D118" s="184"/>
      <c r="E118" s="185"/>
      <c r="F118" s="188">
        <v>800</v>
      </c>
    </row>
    <row r="119" spans="1:6" ht="15.75">
      <c r="A119" s="161"/>
      <c r="B119" s="170">
        <v>43089</v>
      </c>
      <c r="C119" s="183" t="s">
        <v>207</v>
      </c>
      <c r="D119" s="184"/>
      <c r="E119" s="185"/>
      <c r="F119" s="188">
        <v>800</v>
      </c>
    </row>
    <row r="120" spans="1:6" ht="15.75">
      <c r="A120" s="161"/>
      <c r="B120" s="170">
        <v>42947</v>
      </c>
      <c r="C120" s="166" t="s">
        <v>208</v>
      </c>
      <c r="D120" s="167"/>
      <c r="E120" s="168"/>
      <c r="F120" s="171">
        <v>45981</v>
      </c>
    </row>
    <row r="121" spans="1:6" ht="15.75">
      <c r="A121" s="113"/>
      <c r="B121" s="174"/>
      <c r="C121" s="175"/>
      <c r="D121" s="176"/>
      <c r="E121" s="177"/>
      <c r="F121" s="178"/>
    </row>
    <row r="122" spans="1:6" ht="15.75">
      <c r="A122" s="179" t="s">
        <v>72</v>
      </c>
      <c r="B122" s="179"/>
      <c r="C122" s="179"/>
      <c r="D122" s="179"/>
      <c r="E122" s="179"/>
      <c r="F122" s="23">
        <f>SUM(F56:F121)</f>
        <v>137105</v>
      </c>
    </row>
    <row r="123" spans="1:6" ht="15.75">
      <c r="A123" s="180"/>
      <c r="B123" s="181"/>
      <c r="C123" s="180"/>
      <c r="D123" s="180"/>
      <c r="E123" s="180"/>
      <c r="F123" s="182"/>
    </row>
    <row r="124" spans="1:6" ht="15.75">
      <c r="A124" s="180"/>
      <c r="B124" s="181"/>
      <c r="C124" s="180"/>
      <c r="D124" s="180"/>
      <c r="E124" s="180"/>
      <c r="F124" s="182"/>
    </row>
  </sheetData>
  <sheetProtection/>
  <mergeCells count="96">
    <mergeCell ref="C120:E120"/>
    <mergeCell ref="C115:E115"/>
    <mergeCell ref="C116:E116"/>
    <mergeCell ref="C117:E117"/>
    <mergeCell ref="C118:E118"/>
    <mergeCell ref="C119:E119"/>
    <mergeCell ref="C105:E105"/>
    <mergeCell ref="C106:E106"/>
    <mergeCell ref="C107:E107"/>
    <mergeCell ref="C108:E108"/>
    <mergeCell ref="C102:E102"/>
    <mergeCell ref="C121:E121"/>
    <mergeCell ref="A122:E122"/>
    <mergeCell ref="C111:E111"/>
    <mergeCell ref="C112:E112"/>
    <mergeCell ref="C113:E113"/>
    <mergeCell ref="C114:E114"/>
    <mergeCell ref="C109:E109"/>
    <mergeCell ref="C110:E110"/>
    <mergeCell ref="C103:E103"/>
    <mergeCell ref="C104:E104"/>
    <mergeCell ref="C45:E45"/>
    <mergeCell ref="C46:E46"/>
    <mergeCell ref="B1:F1"/>
    <mergeCell ref="B2:F2"/>
    <mergeCell ref="B24:G24"/>
    <mergeCell ref="C26:E26"/>
    <mergeCell ref="C27:E27"/>
    <mergeCell ref="C28:E28"/>
    <mergeCell ref="C29:E29"/>
    <mergeCell ref="C30:E30"/>
    <mergeCell ref="C31:E31"/>
    <mergeCell ref="C32:E32"/>
    <mergeCell ref="C33:E33"/>
    <mergeCell ref="H33:H34"/>
    <mergeCell ref="K33:M33"/>
    <mergeCell ref="C34:E34"/>
    <mergeCell ref="C35:E35"/>
    <mergeCell ref="C36:E36"/>
    <mergeCell ref="C37:E37"/>
    <mergeCell ref="C38:E38"/>
    <mergeCell ref="C39:E39"/>
    <mergeCell ref="C40:E40"/>
    <mergeCell ref="C47:E47"/>
    <mergeCell ref="B53:F53"/>
    <mergeCell ref="C41:E41"/>
    <mergeCell ref="C42:E42"/>
    <mergeCell ref="C43:E43"/>
    <mergeCell ref="C44:E4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95"/>
  <sheetViews>
    <sheetView view="pageBreakPreview" zoomScaleSheetLayoutView="100" zoomScalePageLayoutView="0" workbookViewId="0" topLeftCell="A12">
      <selection activeCell="F26" sqref="F26"/>
    </sheetView>
  </sheetViews>
  <sheetFormatPr defaultColWidth="9.140625" defaultRowHeight="15" outlineLevelRow="1"/>
  <cols>
    <col min="1" max="1" width="4.140625" style="1" customWidth="1"/>
    <col min="2" max="2" width="18.421875" style="1" customWidth="1"/>
    <col min="3" max="3" width="16.7109375" style="1" customWidth="1"/>
    <col min="4" max="5" width="16.00390625" style="1" customWidth="1"/>
    <col min="6" max="6" width="17.140625" style="1" customWidth="1"/>
    <col min="7" max="7" width="12.00390625" style="1" bestFit="1" customWidth="1"/>
    <col min="8" max="8" width="15.140625" style="1" customWidth="1"/>
    <col min="9" max="9" width="13.421875" style="1" customWidth="1"/>
    <col min="10" max="10" width="9.140625" style="1" customWidth="1"/>
    <col min="11" max="11" width="11.140625" style="1" customWidth="1"/>
    <col min="12" max="16384" width="9.140625" style="1" customWidth="1"/>
  </cols>
  <sheetData>
    <row r="1" spans="2:6" ht="15.75">
      <c r="B1" s="129" t="s">
        <v>139</v>
      </c>
      <c r="C1" s="129"/>
      <c r="D1" s="129"/>
      <c r="E1" s="129"/>
      <c r="F1" s="129"/>
    </row>
    <row r="2" spans="2:6" ht="15.75">
      <c r="B2" s="129" t="s">
        <v>70</v>
      </c>
      <c r="C2" s="129"/>
      <c r="D2" s="129"/>
      <c r="E2" s="129"/>
      <c r="F2" s="129"/>
    </row>
    <row r="3" ht="15.75">
      <c r="B3" s="84"/>
    </row>
    <row r="4" ht="15.75" hidden="1" outlineLevel="1">
      <c r="B4" s="1" t="s">
        <v>0</v>
      </c>
    </row>
    <row r="5" spans="2:5" ht="15.75" hidden="1" outlineLevel="1">
      <c r="B5" s="1" t="s">
        <v>33</v>
      </c>
      <c r="D5" s="1">
        <v>4627.7</v>
      </c>
      <c r="E5" s="1" t="s">
        <v>34</v>
      </c>
    </row>
    <row r="6" ht="15.75" collapsed="1"/>
    <row r="7" spans="2:7" ht="15.75">
      <c r="B7" s="3" t="s">
        <v>137</v>
      </c>
      <c r="D7" s="4">
        <f>'2015'!E37</f>
        <v>511152.84400000016</v>
      </c>
      <c r="E7" s="1" t="s">
        <v>138</v>
      </c>
      <c r="G7" s="1" t="s">
        <v>122</v>
      </c>
    </row>
    <row r="8" spans="2:7" ht="31.5">
      <c r="B8" s="25" t="s">
        <v>74</v>
      </c>
      <c r="C8" s="26" t="s">
        <v>140</v>
      </c>
      <c r="D8" s="26" t="s">
        <v>1</v>
      </c>
      <c r="E8" s="26" t="s">
        <v>76</v>
      </c>
      <c r="F8" s="26" t="s">
        <v>141</v>
      </c>
      <c r="G8" s="1" t="s">
        <v>126</v>
      </c>
    </row>
    <row r="9" spans="2:9" ht="32.25" customHeight="1">
      <c r="B9" s="7" t="s">
        <v>3</v>
      </c>
      <c r="C9" s="8">
        <f>'2015'!E9</f>
        <v>-96056.76000000001</v>
      </c>
      <c r="D9" s="8">
        <v>769123.31</v>
      </c>
      <c r="E9" s="8">
        <v>748920.33</v>
      </c>
      <c r="F9" s="8">
        <f aca="true" t="shared" si="0" ref="F9:F16">C9-D9+E9</f>
        <v>-116259.7400000001</v>
      </c>
      <c r="G9" s="1" t="s">
        <v>56</v>
      </c>
      <c r="H9" s="1">
        <v>13.85</v>
      </c>
      <c r="I9" s="4">
        <f>H9*H20*12</f>
        <v>769123.74</v>
      </c>
    </row>
    <row r="10" spans="2:9" ht="15.75">
      <c r="B10" s="7" t="s">
        <v>4</v>
      </c>
      <c r="C10" s="8">
        <f>'2015'!E10</f>
        <v>-7372.599999999991</v>
      </c>
      <c r="D10" s="8">
        <v>57753.96</v>
      </c>
      <c r="E10" s="8">
        <v>56236.89</v>
      </c>
      <c r="F10" s="8">
        <f t="shared" si="0"/>
        <v>-8889.669999999991</v>
      </c>
      <c r="G10" s="1" t="s">
        <v>57</v>
      </c>
      <c r="H10" s="1">
        <f>2.09+1.11</f>
        <v>3.2</v>
      </c>
      <c r="I10" s="4">
        <f>H10*H20*12</f>
        <v>177703.68</v>
      </c>
    </row>
    <row r="11" spans="2:9" ht="31.5">
      <c r="B11" s="7" t="s">
        <v>5</v>
      </c>
      <c r="C11" s="8">
        <f>'2015'!E11</f>
        <v>-3652.8499999999985</v>
      </c>
      <c r="D11" s="8">
        <v>28322.76</v>
      </c>
      <c r="E11" s="8">
        <v>27629.02</v>
      </c>
      <c r="F11" s="8">
        <f t="shared" si="0"/>
        <v>-4346.5899999999965</v>
      </c>
      <c r="G11" s="1" t="s">
        <v>58</v>
      </c>
      <c r="H11" s="1">
        <f>2.53+0.6</f>
        <v>3.13</v>
      </c>
      <c r="I11" s="4">
        <f>H11*H20*12</f>
        <v>173816.41199999998</v>
      </c>
    </row>
    <row r="12" spans="2:6" ht="31.5">
      <c r="B12" s="7" t="s">
        <v>6</v>
      </c>
      <c r="C12" s="8">
        <f>'2015'!E12</f>
        <v>-1843.0999999999985</v>
      </c>
      <c r="D12" s="8">
        <v>14438.16</v>
      </c>
      <c r="E12" s="8">
        <v>14058.92</v>
      </c>
      <c r="F12" s="8">
        <f t="shared" si="0"/>
        <v>-2222.3399999999983</v>
      </c>
    </row>
    <row r="13" spans="2:6" ht="31.5">
      <c r="B13" s="7" t="s">
        <v>7</v>
      </c>
      <c r="C13" s="8">
        <f>'2015'!E13</f>
        <v>-4977.539999999994</v>
      </c>
      <c r="D13" s="8">
        <v>113292.63</v>
      </c>
      <c r="E13" s="8">
        <v>98745.5</v>
      </c>
      <c r="F13" s="8">
        <f t="shared" si="0"/>
        <v>-19524.67</v>
      </c>
    </row>
    <row r="14" spans="2:6" ht="31.5">
      <c r="B14" s="7" t="s">
        <v>170</v>
      </c>
      <c r="C14" s="8"/>
      <c r="D14" s="8">
        <v>10114.36</v>
      </c>
      <c r="E14" s="8">
        <v>3859.43</v>
      </c>
      <c r="F14" s="8">
        <f>E14-D14</f>
        <v>-6254.93</v>
      </c>
    </row>
    <row r="15" spans="2:6" ht="31.5">
      <c r="B15" s="7" t="s">
        <v>8</v>
      </c>
      <c r="C15" s="8">
        <f>'2015'!E14</f>
        <v>-16506.40000000001</v>
      </c>
      <c r="D15" s="8">
        <v>118656.72</v>
      </c>
      <c r="E15" s="8">
        <v>115383.57</v>
      </c>
      <c r="F15" s="8">
        <f t="shared" si="0"/>
        <v>-19779.54999999999</v>
      </c>
    </row>
    <row r="16" spans="2:6" ht="31.5">
      <c r="B16" s="80" t="s">
        <v>181</v>
      </c>
      <c r="C16" s="8">
        <v>0</v>
      </c>
      <c r="D16" s="8">
        <v>994.26</v>
      </c>
      <c r="E16" s="8">
        <v>281.39</v>
      </c>
      <c r="F16" s="8">
        <f t="shared" si="0"/>
        <v>-712.87</v>
      </c>
    </row>
    <row r="17" spans="2:6" ht="15.75">
      <c r="B17" s="7" t="s">
        <v>9</v>
      </c>
      <c r="C17" s="9">
        <f>SUM(C9:C16)</f>
        <v>-130409.25</v>
      </c>
      <c r="D17" s="9">
        <f>SUM(D9:D16)</f>
        <v>1112696.1600000001</v>
      </c>
      <c r="E17" s="9">
        <f>SUM(E9:E16)</f>
        <v>1065115.05</v>
      </c>
      <c r="F17" s="9">
        <f>SUM(F9:F16)</f>
        <v>-177990.36000000004</v>
      </c>
    </row>
    <row r="18" ht="9.75" customHeight="1">
      <c r="B18" s="3"/>
    </row>
    <row r="19" spans="2:7" s="27" customFormat="1" ht="13.5" customHeight="1">
      <c r="B19" s="130" t="s">
        <v>78</v>
      </c>
      <c r="C19" s="130"/>
      <c r="D19" s="130"/>
      <c r="E19" s="130"/>
      <c r="F19" s="130"/>
      <c r="G19" s="130"/>
    </row>
    <row r="20" spans="2:9" s="27" customFormat="1" ht="8.25" customHeight="1">
      <c r="B20" s="85"/>
      <c r="C20" s="85"/>
      <c r="D20" s="85"/>
      <c r="E20" s="85"/>
      <c r="F20" s="85"/>
      <c r="G20" s="85"/>
      <c r="H20" s="27">
        <f>D5</f>
        <v>4627.7</v>
      </c>
      <c r="I20" s="27" t="s">
        <v>90</v>
      </c>
    </row>
    <row r="21" spans="2:8" s="27" customFormat="1" ht="28.5" customHeight="1">
      <c r="B21" s="26" t="s">
        <v>79</v>
      </c>
      <c r="C21" s="131" t="s">
        <v>11</v>
      </c>
      <c r="D21" s="132"/>
      <c r="E21" s="133"/>
      <c r="F21" s="29" t="s">
        <v>12</v>
      </c>
      <c r="H21" s="30"/>
    </row>
    <row r="22" spans="2:11" s="27" customFormat="1" ht="18" customHeight="1">
      <c r="B22" s="31">
        <v>1</v>
      </c>
      <c r="C22" s="134" t="s">
        <v>80</v>
      </c>
      <c r="D22" s="135"/>
      <c r="E22" s="136"/>
      <c r="F22" s="32">
        <f>I10</f>
        <v>177703.68</v>
      </c>
      <c r="H22" s="37"/>
      <c r="I22" s="74" t="s">
        <v>81</v>
      </c>
      <c r="J22" s="25" t="s">
        <v>82</v>
      </c>
      <c r="K22" s="25" t="s">
        <v>83</v>
      </c>
    </row>
    <row r="23" spans="2:11" s="27" customFormat="1" ht="18" customHeight="1">
      <c r="B23" s="34">
        <v>2</v>
      </c>
      <c r="C23" s="119" t="s">
        <v>6</v>
      </c>
      <c r="D23" s="120"/>
      <c r="E23" s="121"/>
      <c r="F23" s="35">
        <f>D12</f>
        <v>14438.16</v>
      </c>
      <c r="H23" s="37"/>
      <c r="I23" s="25"/>
      <c r="J23" s="25">
        <v>4348</v>
      </c>
      <c r="K23" s="25">
        <v>7609</v>
      </c>
    </row>
    <row r="24" spans="2:11" s="27" customFormat="1" ht="31.5" customHeight="1">
      <c r="B24" s="34">
        <v>3</v>
      </c>
      <c r="C24" s="119" t="s">
        <v>84</v>
      </c>
      <c r="D24" s="120"/>
      <c r="E24" s="121"/>
      <c r="F24" s="35">
        <f>I11</f>
        <v>173816.41199999998</v>
      </c>
      <c r="I24" s="25"/>
      <c r="J24" s="25">
        <f>J23*12</f>
        <v>52176</v>
      </c>
      <c r="K24" s="25">
        <f>K23*12</f>
        <v>91308</v>
      </c>
    </row>
    <row r="25" spans="2:11" s="27" customFormat="1" ht="18" customHeight="1">
      <c r="B25" s="34">
        <v>4</v>
      </c>
      <c r="C25" s="119" t="s">
        <v>101</v>
      </c>
      <c r="D25" s="120"/>
      <c r="E25" s="121"/>
      <c r="F25" s="35">
        <v>133820.53</v>
      </c>
      <c r="G25" s="48"/>
      <c r="I25" s="25"/>
      <c r="J25" s="78"/>
      <c r="K25" s="79"/>
    </row>
    <row r="26" spans="2:11" s="27" customFormat="1" ht="18" customHeight="1">
      <c r="B26" s="34">
        <v>5</v>
      </c>
      <c r="C26" s="119" t="s">
        <v>85</v>
      </c>
      <c r="D26" s="120"/>
      <c r="E26" s="121"/>
      <c r="F26" s="35">
        <f>F28+F29+F30+F27</f>
        <v>171047</v>
      </c>
      <c r="G26" s="67">
        <f>F93</f>
        <v>252241.21999999997</v>
      </c>
      <c r="H26" s="37"/>
      <c r="I26" s="25"/>
      <c r="J26" s="25"/>
      <c r="K26" s="79"/>
    </row>
    <row r="27" spans="2:8" s="27" customFormat="1" ht="16.5" customHeight="1">
      <c r="B27" s="34" t="s">
        <v>13</v>
      </c>
      <c r="C27" s="119" t="s">
        <v>120</v>
      </c>
      <c r="D27" s="120"/>
      <c r="E27" s="121"/>
      <c r="F27" s="36">
        <f>F47</f>
        <v>4296</v>
      </c>
      <c r="H27" s="37"/>
    </row>
    <row r="28" spans="2:6" s="27" customFormat="1" ht="16.5" customHeight="1">
      <c r="B28" s="34" t="s">
        <v>13</v>
      </c>
      <c r="C28" s="119" t="s">
        <v>86</v>
      </c>
      <c r="D28" s="120"/>
      <c r="E28" s="121"/>
      <c r="F28" s="36">
        <f>F52+F57+F69+F70+F73+F75+F76+F78+F80+F81+F82+F84+F89+F92</f>
        <v>22310</v>
      </c>
    </row>
    <row r="29" spans="2:8" s="27" customFormat="1" ht="16.5" customHeight="1">
      <c r="B29" s="34" t="s">
        <v>13</v>
      </c>
      <c r="C29" s="119" t="s">
        <v>87</v>
      </c>
      <c r="D29" s="120"/>
      <c r="E29" s="121"/>
      <c r="F29" s="36">
        <f>F48+F50+F51+F53+F55+F56+F58+F61+F62+F68+F71+F74+F79+F86+F91</f>
        <v>20267</v>
      </c>
      <c r="H29" s="37"/>
    </row>
    <row r="30" spans="2:13" s="27" customFormat="1" ht="15.75">
      <c r="B30" s="34" t="s">
        <v>13</v>
      </c>
      <c r="C30" s="119" t="s">
        <v>88</v>
      </c>
      <c r="D30" s="120"/>
      <c r="E30" s="121"/>
      <c r="F30" s="36">
        <f>F54+F59+F60+F64+F65+F66+F67+F87</f>
        <v>124174</v>
      </c>
      <c r="H30" s="126" t="s">
        <v>135</v>
      </c>
      <c r="K30" s="128" t="s">
        <v>128</v>
      </c>
      <c r="L30" s="128"/>
      <c r="M30" s="128"/>
    </row>
    <row r="31" spans="2:13" s="27" customFormat="1" ht="16.5" customHeight="1">
      <c r="B31" s="34">
        <v>6</v>
      </c>
      <c r="C31" s="119" t="s">
        <v>160</v>
      </c>
      <c r="D31" s="120"/>
      <c r="E31" s="121"/>
      <c r="F31" s="36">
        <f>F77</f>
        <v>45981</v>
      </c>
      <c r="H31" s="127"/>
      <c r="I31" s="109">
        <v>950</v>
      </c>
      <c r="K31" s="25" t="s">
        <v>129</v>
      </c>
      <c r="L31" s="25" t="s">
        <v>130</v>
      </c>
      <c r="M31" s="25" t="s">
        <v>131</v>
      </c>
    </row>
    <row r="32" spans="2:13" s="27" customFormat="1" ht="31.5" customHeight="1">
      <c r="B32" s="34">
        <v>7</v>
      </c>
      <c r="C32" s="119" t="s">
        <v>113</v>
      </c>
      <c r="D32" s="120"/>
      <c r="E32" s="121"/>
      <c r="F32" s="36">
        <f>D15</f>
        <v>118656.72</v>
      </c>
      <c r="H32" s="37"/>
      <c r="K32" s="25">
        <f>2*2340</f>
        <v>4680</v>
      </c>
      <c r="L32" s="25">
        <f>200*2</f>
        <v>400</v>
      </c>
      <c r="M32" s="25" t="s">
        <v>132</v>
      </c>
    </row>
    <row r="33" spans="2:13" s="27" customFormat="1" ht="17.25" customHeight="1">
      <c r="B33" s="34">
        <v>8</v>
      </c>
      <c r="C33" s="119" t="s">
        <v>112</v>
      </c>
      <c r="D33" s="120"/>
      <c r="E33" s="121"/>
      <c r="F33" s="36">
        <f>F49+F63+F72</f>
        <v>3519</v>
      </c>
      <c r="H33" s="97"/>
      <c r="I33" s="98"/>
      <c r="K33" s="25">
        <f>2340*2</f>
        <v>4680</v>
      </c>
      <c r="L33" s="25">
        <f>200*2</f>
        <v>400</v>
      </c>
      <c r="M33" s="25" t="s">
        <v>133</v>
      </c>
    </row>
    <row r="34" spans="2:13" s="24" customFormat="1" ht="15.75">
      <c r="B34" s="34">
        <v>9</v>
      </c>
      <c r="C34" s="119" t="s">
        <v>124</v>
      </c>
      <c r="D34" s="120"/>
      <c r="E34" s="121"/>
      <c r="F34" s="36">
        <f>D10+D11</f>
        <v>86076.72</v>
      </c>
      <c r="H34" s="99"/>
      <c r="I34" s="98"/>
      <c r="K34" s="25">
        <f>2340*2</f>
        <v>4680</v>
      </c>
      <c r="L34" s="25">
        <f>200*2</f>
        <v>400</v>
      </c>
      <c r="M34" s="25" t="s">
        <v>134</v>
      </c>
    </row>
    <row r="35" spans="2:13" s="27" customFormat="1" ht="15.75">
      <c r="B35" s="34">
        <v>10</v>
      </c>
      <c r="C35" s="119" t="s">
        <v>7</v>
      </c>
      <c r="D35" s="120"/>
      <c r="E35" s="121"/>
      <c r="F35" s="36">
        <f>D13</f>
        <v>113292.63</v>
      </c>
      <c r="H35" s="37"/>
      <c r="I35" s="98"/>
      <c r="K35" s="25">
        <v>4680</v>
      </c>
      <c r="L35" s="25">
        <v>400</v>
      </c>
      <c r="M35" s="25" t="s">
        <v>136</v>
      </c>
    </row>
    <row r="36" spans="2:13" s="27" customFormat="1" ht="15.75">
      <c r="B36" s="34">
        <v>11</v>
      </c>
      <c r="C36" s="119" t="s">
        <v>169</v>
      </c>
      <c r="D36" s="120"/>
      <c r="E36" s="121"/>
      <c r="F36" s="36">
        <f>F83+F85+F88+F90</f>
        <v>31694.22</v>
      </c>
      <c r="H36" s="37"/>
      <c r="I36" s="98"/>
      <c r="K36" s="101"/>
      <c r="L36" s="101"/>
      <c r="M36" s="101"/>
    </row>
    <row r="37" spans="2:13" s="27" customFormat="1" ht="18" customHeight="1">
      <c r="B37" s="34">
        <v>12</v>
      </c>
      <c r="C37" s="119" t="s">
        <v>125</v>
      </c>
      <c r="D37" s="120"/>
      <c r="E37" s="121"/>
      <c r="F37" s="36">
        <f>I31*12</f>
        <v>11400</v>
      </c>
      <c r="G37" s="27" t="s">
        <v>123</v>
      </c>
      <c r="H37" s="37"/>
      <c r="I37" s="98"/>
      <c r="K37" s="101"/>
      <c r="L37" s="101"/>
      <c r="M37" s="101"/>
    </row>
    <row r="38" spans="2:13" s="27" customFormat="1" ht="20.25" customHeight="1">
      <c r="B38" s="38"/>
      <c r="C38" s="122" t="s">
        <v>89</v>
      </c>
      <c r="D38" s="123"/>
      <c r="E38" s="124"/>
      <c r="F38" s="39">
        <f>F22+F23+F24+F25+F26+F31+F32+F33+F34+F35+F36+F37</f>
        <v>1081446.072</v>
      </c>
      <c r="H38" s="37"/>
      <c r="I38" s="98"/>
      <c r="K38" s="37"/>
      <c r="L38" s="37"/>
      <c r="M38" s="37"/>
    </row>
    <row r="39" spans="2:13" s="27" customFormat="1" ht="18" customHeight="1">
      <c r="B39" s="40"/>
      <c r="H39" s="37"/>
      <c r="I39" s="98"/>
      <c r="K39" s="37"/>
      <c r="L39" s="37"/>
      <c r="M39" s="37"/>
    </row>
    <row r="40" spans="2:13" ht="15.75">
      <c r="B40" s="68" t="s">
        <v>142</v>
      </c>
      <c r="C40" s="69"/>
      <c r="D40" s="69"/>
      <c r="E40" s="70"/>
      <c r="F40" s="36">
        <f>D7+D17-F38</f>
        <v>542402.9320000003</v>
      </c>
      <c r="H40" s="96"/>
      <c r="I40" s="100"/>
      <c r="K40" s="96"/>
      <c r="L40" s="96"/>
      <c r="M40" s="96"/>
    </row>
    <row r="41" spans="2:13" ht="15.75">
      <c r="B41" s="68" t="s">
        <v>143</v>
      </c>
      <c r="C41" s="69"/>
      <c r="D41" s="69"/>
      <c r="E41" s="70"/>
      <c r="F41" s="36">
        <f>F17</f>
        <v>-177990.36000000004</v>
      </c>
      <c r="H41" s="96"/>
      <c r="I41" s="100"/>
      <c r="K41" s="96"/>
      <c r="L41" s="96"/>
      <c r="M41" s="96"/>
    </row>
    <row r="42" spans="2:13" ht="15.75">
      <c r="B42" s="71" t="s">
        <v>116</v>
      </c>
      <c r="C42" s="72"/>
      <c r="D42" s="72"/>
      <c r="E42" s="73"/>
      <c r="F42" s="36">
        <f>F40+F41</f>
        <v>364412.5720000002</v>
      </c>
      <c r="H42" s="96"/>
      <c r="I42" s="96"/>
      <c r="K42" s="96"/>
      <c r="L42" s="96"/>
      <c r="M42" s="96"/>
    </row>
    <row r="43" ht="12" customHeight="1">
      <c r="B43" s="11"/>
    </row>
    <row r="44" spans="2:6" s="50" customFormat="1" ht="12.75" customHeight="1">
      <c r="B44" s="125" t="s">
        <v>69</v>
      </c>
      <c r="C44" s="125"/>
      <c r="D44" s="125"/>
      <c r="E44" s="125"/>
      <c r="F44" s="125"/>
    </row>
    <row r="45" spans="2:6" s="50" customFormat="1" ht="12" customHeight="1">
      <c r="B45" s="86"/>
      <c r="C45" s="1"/>
      <c r="D45" s="1"/>
      <c r="E45" s="1"/>
      <c r="F45" s="1"/>
    </row>
    <row r="46" spans="2:6" s="50" customFormat="1" ht="15">
      <c r="B46" s="83" t="s">
        <v>25</v>
      </c>
      <c r="C46" s="117" t="s">
        <v>26</v>
      </c>
      <c r="D46" s="117"/>
      <c r="E46" s="117"/>
      <c r="F46" s="83" t="s">
        <v>27</v>
      </c>
    </row>
    <row r="47" spans="2:7" s="51" customFormat="1" ht="15">
      <c r="B47" s="18" t="s">
        <v>110</v>
      </c>
      <c r="C47" s="118" t="s">
        <v>166</v>
      </c>
      <c r="D47" s="118"/>
      <c r="E47" s="118"/>
      <c r="F47" s="104">
        <f>2*12*179</f>
        <v>4296</v>
      </c>
      <c r="G47" s="87"/>
    </row>
    <row r="48" spans="2:7" s="51" customFormat="1" ht="15">
      <c r="B48" s="102">
        <v>42382</v>
      </c>
      <c r="C48" s="137" t="s">
        <v>144</v>
      </c>
      <c r="D48" s="137"/>
      <c r="E48" s="137"/>
      <c r="F48" s="105">
        <v>527</v>
      </c>
      <c r="G48" s="87"/>
    </row>
    <row r="49" spans="2:7" s="51" customFormat="1" ht="15">
      <c r="B49" s="102">
        <v>42416</v>
      </c>
      <c r="C49" s="137" t="s">
        <v>145</v>
      </c>
      <c r="D49" s="137"/>
      <c r="E49" s="137"/>
      <c r="F49" s="108">
        <v>1380</v>
      </c>
      <c r="G49" s="87"/>
    </row>
    <row r="50" spans="2:7" s="53" customFormat="1" ht="15">
      <c r="B50" s="102">
        <v>42430</v>
      </c>
      <c r="C50" s="138" t="s">
        <v>146</v>
      </c>
      <c r="D50" s="139"/>
      <c r="E50" s="140"/>
      <c r="F50" s="105">
        <v>955</v>
      </c>
      <c r="G50" s="89"/>
    </row>
    <row r="51" spans="2:7" s="53" customFormat="1" ht="15">
      <c r="B51" s="102">
        <v>42430</v>
      </c>
      <c r="C51" s="138" t="s">
        <v>146</v>
      </c>
      <c r="D51" s="139"/>
      <c r="E51" s="140"/>
      <c r="F51" s="105">
        <v>1075</v>
      </c>
      <c r="G51" s="89"/>
    </row>
    <row r="52" spans="2:7" s="54" customFormat="1" ht="15.75" customHeight="1">
      <c r="B52" s="102">
        <v>42431</v>
      </c>
      <c r="C52" s="137" t="s">
        <v>147</v>
      </c>
      <c r="D52" s="137"/>
      <c r="E52" s="137"/>
      <c r="F52" s="107">
        <v>3457</v>
      </c>
      <c r="G52" s="90"/>
    </row>
    <row r="53" spans="2:7" s="54" customFormat="1" ht="15.75" customHeight="1">
      <c r="B53" s="102">
        <v>42431</v>
      </c>
      <c r="C53" s="137" t="s">
        <v>146</v>
      </c>
      <c r="D53" s="137"/>
      <c r="E53" s="137"/>
      <c r="F53" s="105">
        <v>664</v>
      </c>
      <c r="G53" s="90"/>
    </row>
    <row r="54" spans="2:7" s="54" customFormat="1" ht="15.75" customHeight="1">
      <c r="B54" s="102">
        <v>42432</v>
      </c>
      <c r="C54" s="138" t="s">
        <v>148</v>
      </c>
      <c r="D54" s="139"/>
      <c r="E54" s="140"/>
      <c r="F54" s="103">
        <f>2*2600</f>
        <v>5200</v>
      </c>
      <c r="G54" s="90"/>
    </row>
    <row r="55" spans="2:7" s="54" customFormat="1" ht="15">
      <c r="B55" s="102">
        <v>42438</v>
      </c>
      <c r="C55" s="137" t="s">
        <v>146</v>
      </c>
      <c r="D55" s="137"/>
      <c r="E55" s="137"/>
      <c r="F55" s="105">
        <v>3959</v>
      </c>
      <c r="G55" s="90"/>
    </row>
    <row r="56" spans="2:7" s="54" customFormat="1" ht="15">
      <c r="B56" s="102">
        <v>42443</v>
      </c>
      <c r="C56" s="137" t="s">
        <v>146</v>
      </c>
      <c r="D56" s="137"/>
      <c r="E56" s="137"/>
      <c r="F56" s="105">
        <v>538</v>
      </c>
      <c r="G56" s="90"/>
    </row>
    <row r="57" spans="2:7" s="55" customFormat="1" ht="15">
      <c r="B57" s="102">
        <v>42453</v>
      </c>
      <c r="C57" s="137" t="s">
        <v>149</v>
      </c>
      <c r="D57" s="137"/>
      <c r="E57" s="137"/>
      <c r="F57" s="107">
        <v>654</v>
      </c>
      <c r="G57" s="91"/>
    </row>
    <row r="58" spans="2:7" s="55" customFormat="1" ht="15">
      <c r="B58" s="102">
        <v>42457</v>
      </c>
      <c r="C58" s="138" t="s">
        <v>150</v>
      </c>
      <c r="D58" s="139"/>
      <c r="E58" s="140"/>
      <c r="F58" s="105">
        <v>6700</v>
      </c>
      <c r="G58" s="91"/>
    </row>
    <row r="59" spans="2:7" s="56" customFormat="1" ht="15">
      <c r="B59" s="102">
        <v>42459</v>
      </c>
      <c r="C59" s="137" t="s">
        <v>167</v>
      </c>
      <c r="D59" s="137"/>
      <c r="E59" s="137"/>
      <c r="F59" s="103">
        <v>78342</v>
      </c>
      <c r="G59" s="92"/>
    </row>
    <row r="60" spans="2:7" s="56" customFormat="1" ht="15.75" customHeight="1">
      <c r="B60" s="102">
        <v>42459</v>
      </c>
      <c r="C60" s="137" t="s">
        <v>167</v>
      </c>
      <c r="D60" s="137"/>
      <c r="E60" s="137"/>
      <c r="F60" s="103">
        <v>28683</v>
      </c>
      <c r="G60" s="92"/>
    </row>
    <row r="61" spans="2:7" s="57" customFormat="1" ht="15">
      <c r="B61" s="102">
        <v>42472</v>
      </c>
      <c r="C61" s="137" t="s">
        <v>146</v>
      </c>
      <c r="D61" s="137"/>
      <c r="E61" s="137"/>
      <c r="F61" s="105">
        <v>538</v>
      </c>
      <c r="G61" s="93"/>
    </row>
    <row r="62" spans="2:7" s="57" customFormat="1" ht="15">
      <c r="B62" s="102">
        <v>42478</v>
      </c>
      <c r="C62" s="137" t="s">
        <v>150</v>
      </c>
      <c r="D62" s="137"/>
      <c r="E62" s="137"/>
      <c r="F62" s="105">
        <v>579</v>
      </c>
      <c r="G62" s="93"/>
    </row>
    <row r="63" spans="2:7" s="57" customFormat="1" ht="15">
      <c r="B63" s="102">
        <v>42478</v>
      </c>
      <c r="C63" s="138" t="s">
        <v>145</v>
      </c>
      <c r="D63" s="139"/>
      <c r="E63" s="140"/>
      <c r="F63" s="108">
        <v>1104</v>
      </c>
      <c r="G63" s="93"/>
    </row>
    <row r="64" spans="2:7" s="57" customFormat="1" ht="15">
      <c r="B64" s="102">
        <v>42485</v>
      </c>
      <c r="C64" s="137" t="s">
        <v>151</v>
      </c>
      <c r="D64" s="137"/>
      <c r="E64" s="137"/>
      <c r="F64" s="103">
        <v>1156</v>
      </c>
      <c r="G64" s="93"/>
    </row>
    <row r="65" spans="2:7" s="57" customFormat="1" ht="15">
      <c r="B65" s="102">
        <v>42490</v>
      </c>
      <c r="C65" s="137" t="s">
        <v>152</v>
      </c>
      <c r="D65" s="137"/>
      <c r="E65" s="137"/>
      <c r="F65" s="103">
        <v>1630</v>
      </c>
      <c r="G65" s="93"/>
    </row>
    <row r="66" spans="2:7" s="50" customFormat="1" ht="15">
      <c r="B66" s="102">
        <v>42502</v>
      </c>
      <c r="C66" s="137" t="s">
        <v>153</v>
      </c>
      <c r="D66" s="137"/>
      <c r="E66" s="137"/>
      <c r="F66" s="103">
        <v>481</v>
      </c>
      <c r="G66" s="94"/>
    </row>
    <row r="67" spans="2:7" s="50" customFormat="1" ht="15.75" customHeight="1">
      <c r="B67" s="102">
        <v>42521</v>
      </c>
      <c r="C67" s="137" t="s">
        <v>154</v>
      </c>
      <c r="D67" s="137"/>
      <c r="E67" s="137"/>
      <c r="F67" s="103">
        <v>6522</v>
      </c>
      <c r="G67" s="94"/>
    </row>
    <row r="68" spans="2:7" s="50" customFormat="1" ht="15.75" customHeight="1">
      <c r="B68" s="102">
        <v>42529</v>
      </c>
      <c r="C68" s="137" t="s">
        <v>144</v>
      </c>
      <c r="D68" s="137"/>
      <c r="E68" s="137"/>
      <c r="F68" s="105">
        <v>1172</v>
      </c>
      <c r="G68" s="94"/>
    </row>
    <row r="69" spans="2:7" s="50" customFormat="1" ht="15.75" customHeight="1">
      <c r="B69" s="102">
        <v>42530</v>
      </c>
      <c r="C69" s="137" t="s">
        <v>155</v>
      </c>
      <c r="D69" s="137"/>
      <c r="E69" s="137"/>
      <c r="F69" s="107">
        <v>7183</v>
      </c>
      <c r="G69" s="94"/>
    </row>
    <row r="70" spans="2:7" s="50" customFormat="1" ht="15.75" customHeight="1">
      <c r="B70" s="102">
        <v>42536</v>
      </c>
      <c r="C70" s="137" t="s">
        <v>149</v>
      </c>
      <c r="D70" s="137"/>
      <c r="E70" s="137"/>
      <c r="F70" s="107">
        <v>462</v>
      </c>
      <c r="G70" s="94"/>
    </row>
    <row r="71" spans="2:7" s="50" customFormat="1" ht="15">
      <c r="B71" s="102">
        <v>42552</v>
      </c>
      <c r="C71" s="137" t="s">
        <v>156</v>
      </c>
      <c r="D71" s="137"/>
      <c r="E71" s="137"/>
      <c r="F71" s="105">
        <v>952</v>
      </c>
      <c r="G71" s="94"/>
    </row>
    <row r="72" spans="2:7" s="82" customFormat="1" ht="15">
      <c r="B72" s="102">
        <v>42553</v>
      </c>
      <c r="C72" s="137" t="s">
        <v>145</v>
      </c>
      <c r="D72" s="137"/>
      <c r="E72" s="137"/>
      <c r="F72" s="108">
        <v>1035</v>
      </c>
      <c r="G72" s="95"/>
    </row>
    <row r="73" spans="2:7" s="82" customFormat="1" ht="30" customHeight="1">
      <c r="B73" s="102">
        <v>42559</v>
      </c>
      <c r="C73" s="137" t="s">
        <v>157</v>
      </c>
      <c r="D73" s="137"/>
      <c r="E73" s="137"/>
      <c r="F73" s="107">
        <v>931</v>
      </c>
      <c r="G73" s="95"/>
    </row>
    <row r="74" spans="2:7" s="50" customFormat="1" ht="15">
      <c r="B74" s="102">
        <v>42562</v>
      </c>
      <c r="C74" s="137" t="s">
        <v>158</v>
      </c>
      <c r="D74" s="137"/>
      <c r="E74" s="137"/>
      <c r="F74" s="105">
        <v>861</v>
      </c>
      <c r="G74" s="94"/>
    </row>
    <row r="75" spans="2:7" ht="15.75">
      <c r="B75" s="102">
        <v>42584</v>
      </c>
      <c r="C75" s="137" t="s">
        <v>147</v>
      </c>
      <c r="D75" s="137"/>
      <c r="E75" s="137"/>
      <c r="F75" s="107">
        <v>2135</v>
      </c>
      <c r="G75" s="96"/>
    </row>
    <row r="76" spans="2:6" ht="15.75">
      <c r="B76" s="102">
        <v>42593</v>
      </c>
      <c r="C76" s="137" t="s">
        <v>159</v>
      </c>
      <c r="D76" s="137"/>
      <c r="E76" s="137"/>
      <c r="F76" s="107">
        <v>1975</v>
      </c>
    </row>
    <row r="77" spans="2:7" s="51" customFormat="1" ht="15">
      <c r="B77" s="102">
        <v>42594</v>
      </c>
      <c r="C77" s="137" t="s">
        <v>160</v>
      </c>
      <c r="D77" s="137"/>
      <c r="E77" s="137"/>
      <c r="F77" s="106">
        <v>45981</v>
      </c>
      <c r="G77" s="87"/>
    </row>
    <row r="78" spans="2:7" s="51" customFormat="1" ht="15">
      <c r="B78" s="102">
        <v>42619</v>
      </c>
      <c r="C78" s="137" t="s">
        <v>161</v>
      </c>
      <c r="D78" s="137"/>
      <c r="E78" s="137"/>
      <c r="F78" s="107">
        <v>1067</v>
      </c>
      <c r="G78" s="87"/>
    </row>
    <row r="79" spans="2:7" s="52" customFormat="1" ht="15">
      <c r="B79" s="102">
        <v>42629</v>
      </c>
      <c r="C79" s="137" t="s">
        <v>144</v>
      </c>
      <c r="D79" s="137"/>
      <c r="E79" s="137"/>
      <c r="F79" s="105">
        <v>529</v>
      </c>
      <c r="G79" s="88"/>
    </row>
    <row r="80" spans="2:7" s="53" customFormat="1" ht="15">
      <c r="B80" s="102">
        <v>42632</v>
      </c>
      <c r="C80" s="137" t="s">
        <v>149</v>
      </c>
      <c r="D80" s="137"/>
      <c r="E80" s="137"/>
      <c r="F80" s="107">
        <v>745</v>
      </c>
      <c r="G80" s="89"/>
    </row>
    <row r="81" spans="2:7" s="53" customFormat="1" ht="15">
      <c r="B81" s="102">
        <v>42636</v>
      </c>
      <c r="C81" s="137" t="s">
        <v>149</v>
      </c>
      <c r="D81" s="137"/>
      <c r="E81" s="137"/>
      <c r="F81" s="107">
        <v>377</v>
      </c>
      <c r="G81" s="89"/>
    </row>
    <row r="82" spans="2:7" s="54" customFormat="1" ht="15.75" customHeight="1">
      <c r="B82" s="102">
        <v>42642</v>
      </c>
      <c r="C82" s="137" t="s">
        <v>149</v>
      </c>
      <c r="D82" s="137"/>
      <c r="E82" s="137"/>
      <c r="F82" s="107">
        <v>377</v>
      </c>
      <c r="G82" s="90"/>
    </row>
    <row r="83" spans="2:7" s="54" customFormat="1" ht="15.75" customHeight="1">
      <c r="B83" s="102">
        <v>42643</v>
      </c>
      <c r="C83" s="138" t="s">
        <v>168</v>
      </c>
      <c r="D83" s="139"/>
      <c r="E83" s="140"/>
      <c r="F83" s="107">
        <v>9052.68</v>
      </c>
      <c r="G83" s="90"/>
    </row>
    <row r="84" spans="2:7" s="54" customFormat="1" ht="15.75" customHeight="1">
      <c r="B84" s="102">
        <v>42653</v>
      </c>
      <c r="C84" s="137" t="s">
        <v>162</v>
      </c>
      <c r="D84" s="137"/>
      <c r="E84" s="137"/>
      <c r="F84" s="107">
        <v>1162</v>
      </c>
      <c r="G84" s="90"/>
    </row>
    <row r="85" spans="2:7" s="54" customFormat="1" ht="15.75" customHeight="1">
      <c r="B85" s="102">
        <v>42674</v>
      </c>
      <c r="C85" s="138" t="str">
        <f>C83</f>
        <v>Горячее водоснабжение ОДН (превышение норматива)</v>
      </c>
      <c r="D85" s="139"/>
      <c r="E85" s="140"/>
      <c r="F85" s="107">
        <v>8951.86</v>
      </c>
      <c r="G85" s="90"/>
    </row>
    <row r="86" spans="2:7" s="54" customFormat="1" ht="15.75" customHeight="1">
      <c r="B86" s="102">
        <v>42681</v>
      </c>
      <c r="C86" s="137" t="s">
        <v>146</v>
      </c>
      <c r="D86" s="137"/>
      <c r="E86" s="137"/>
      <c r="F86" s="105">
        <v>793</v>
      </c>
      <c r="G86" s="90"/>
    </row>
    <row r="87" spans="2:7" s="54" customFormat="1" ht="15">
      <c r="B87" s="102">
        <v>42698</v>
      </c>
      <c r="C87" s="137" t="s">
        <v>163</v>
      </c>
      <c r="D87" s="137"/>
      <c r="E87" s="137"/>
      <c r="F87" s="103">
        <v>2160</v>
      </c>
      <c r="G87" s="90"/>
    </row>
    <row r="88" spans="2:7" s="54" customFormat="1" ht="15">
      <c r="B88" s="102">
        <v>42704</v>
      </c>
      <c r="C88" s="138" t="str">
        <f>C85</f>
        <v>Горячее водоснабжение ОДН (превышение норматива)</v>
      </c>
      <c r="D88" s="139"/>
      <c r="E88" s="140"/>
      <c r="F88" s="103">
        <v>12728.78</v>
      </c>
      <c r="G88" s="90"/>
    </row>
    <row r="89" spans="2:7" s="54" customFormat="1" ht="15">
      <c r="B89" s="102">
        <v>42712</v>
      </c>
      <c r="C89" s="137" t="s">
        <v>164</v>
      </c>
      <c r="D89" s="137"/>
      <c r="E89" s="137"/>
      <c r="F89" s="107">
        <v>1131</v>
      </c>
      <c r="G89" s="90"/>
    </row>
    <row r="90" spans="2:7" s="54" customFormat="1" ht="15">
      <c r="B90" s="102">
        <v>42735</v>
      </c>
      <c r="C90" s="138" t="str">
        <f>C88</f>
        <v>Горячее водоснабжение ОДН (превышение норматива)</v>
      </c>
      <c r="D90" s="139"/>
      <c r="E90" s="140"/>
      <c r="F90" s="107">
        <v>960.9</v>
      </c>
      <c r="G90" s="90"/>
    </row>
    <row r="91" spans="2:7" s="55" customFormat="1" ht="15">
      <c r="B91" s="102">
        <v>42723</v>
      </c>
      <c r="C91" s="137" t="s">
        <v>165</v>
      </c>
      <c r="D91" s="137"/>
      <c r="E91" s="137"/>
      <c r="F91" s="105">
        <v>425</v>
      </c>
      <c r="G91" s="91"/>
    </row>
    <row r="92" spans="2:7" s="55" customFormat="1" ht="29.25" customHeight="1">
      <c r="B92" s="102">
        <v>42730</v>
      </c>
      <c r="C92" s="137" t="s">
        <v>157</v>
      </c>
      <c r="D92" s="137"/>
      <c r="E92" s="137"/>
      <c r="F92" s="107">
        <v>654</v>
      </c>
      <c r="G92" s="91"/>
    </row>
    <row r="93" spans="2:6" ht="15.75">
      <c r="B93" s="114" t="s">
        <v>72</v>
      </c>
      <c r="C93" s="115"/>
      <c r="D93" s="115"/>
      <c r="E93" s="116"/>
      <c r="F93" s="23">
        <f>SUM(F47:F92)</f>
        <v>252241.21999999997</v>
      </c>
    </row>
    <row r="94" spans="2:6" ht="15.75">
      <c r="B94" s="86"/>
      <c r="F94" s="13"/>
    </row>
    <row r="95" ht="15.75">
      <c r="B95" s="86"/>
    </row>
  </sheetData>
  <sheetProtection/>
  <mergeCells count="72">
    <mergeCell ref="C88:E88"/>
    <mergeCell ref="C90:E90"/>
    <mergeCell ref="B1:F1"/>
    <mergeCell ref="B2:F2"/>
    <mergeCell ref="B19:G19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47:E47"/>
    <mergeCell ref="C30:E30"/>
    <mergeCell ref="K30:M30"/>
    <mergeCell ref="C31:E31"/>
    <mergeCell ref="C32:E32"/>
    <mergeCell ref="C33:E33"/>
    <mergeCell ref="C34:E34"/>
    <mergeCell ref="C36:E36"/>
    <mergeCell ref="C77:E77"/>
    <mergeCell ref="C78:E78"/>
    <mergeCell ref="C79:E79"/>
    <mergeCell ref="C80:E80"/>
    <mergeCell ref="C81:E81"/>
    <mergeCell ref="C35:E35"/>
    <mergeCell ref="C37:E37"/>
    <mergeCell ref="C38:E38"/>
    <mergeCell ref="B44:F44"/>
    <mergeCell ref="C46:E46"/>
    <mergeCell ref="B93:E93"/>
    <mergeCell ref="C92:E92"/>
    <mergeCell ref="C82:E82"/>
    <mergeCell ref="C84:E84"/>
    <mergeCell ref="C86:E86"/>
    <mergeCell ref="C87:E87"/>
    <mergeCell ref="C89:E89"/>
    <mergeCell ref="C91:E91"/>
    <mergeCell ref="C83:E83"/>
    <mergeCell ref="C85:E85"/>
    <mergeCell ref="C52:E52"/>
    <mergeCell ref="C53:E53"/>
    <mergeCell ref="C54:E54"/>
    <mergeCell ref="C55:E55"/>
    <mergeCell ref="C56:E56"/>
    <mergeCell ref="C48:E48"/>
    <mergeCell ref="C49:E49"/>
    <mergeCell ref="C50:E50"/>
    <mergeCell ref="C57:E57"/>
    <mergeCell ref="C58:E58"/>
    <mergeCell ref="C59:E59"/>
    <mergeCell ref="C60:E60"/>
    <mergeCell ref="C61:E61"/>
    <mergeCell ref="C62:E62"/>
    <mergeCell ref="C72:E72"/>
    <mergeCell ref="C63:E63"/>
    <mergeCell ref="C64:E64"/>
    <mergeCell ref="C65:E65"/>
    <mergeCell ref="C66:E66"/>
    <mergeCell ref="C67:E67"/>
    <mergeCell ref="C73:E73"/>
    <mergeCell ref="C74:E74"/>
    <mergeCell ref="C75:E75"/>
    <mergeCell ref="C76:E76"/>
    <mergeCell ref="C51:E51"/>
    <mergeCell ref="H30:H31"/>
    <mergeCell ref="C68:E68"/>
    <mergeCell ref="C69:E69"/>
    <mergeCell ref="C70:E70"/>
    <mergeCell ref="C71:E71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2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106" zoomScaleSheetLayoutView="106" zoomScalePageLayoutView="0" workbookViewId="0" topLeftCell="A30">
      <selection activeCell="C7" sqref="C7"/>
    </sheetView>
  </sheetViews>
  <sheetFormatPr defaultColWidth="9.140625" defaultRowHeight="15" outlineLevelRow="1"/>
  <cols>
    <col min="1" max="1" width="18.421875" style="1" customWidth="1"/>
    <col min="2" max="2" width="16.7109375" style="1" customWidth="1"/>
    <col min="3" max="4" width="16.00390625" style="1" customWidth="1"/>
    <col min="5" max="5" width="15.7109375" style="1" customWidth="1"/>
    <col min="6" max="6" width="12.00390625" style="1" bestFit="1" customWidth="1"/>
    <col min="7" max="7" width="14.421875" style="1" customWidth="1"/>
    <col min="8" max="8" width="13.421875" style="1" customWidth="1"/>
    <col min="9" max="9" width="9.140625" style="1" customWidth="1"/>
    <col min="10" max="10" width="11.140625" style="1" customWidth="1"/>
    <col min="11" max="16384" width="9.140625" style="1" customWidth="1"/>
  </cols>
  <sheetData>
    <row r="1" spans="1:5" ht="15.75">
      <c r="A1" s="129" t="s">
        <v>73</v>
      </c>
      <c r="B1" s="129"/>
      <c r="C1" s="129"/>
      <c r="D1" s="129"/>
      <c r="E1" s="129"/>
    </row>
    <row r="2" spans="1:5" ht="15.75">
      <c r="A2" s="129" t="s">
        <v>70</v>
      </c>
      <c r="B2" s="129"/>
      <c r="C2" s="129"/>
      <c r="D2" s="129"/>
      <c r="E2" s="129"/>
    </row>
    <row r="3" ht="15.75">
      <c r="A3" s="22"/>
    </row>
    <row r="4" ht="15.75" hidden="1" outlineLevel="1">
      <c r="A4" s="1" t="s">
        <v>0</v>
      </c>
    </row>
    <row r="5" spans="1:4" ht="15.75" hidden="1" outlineLevel="1">
      <c r="A5" s="1" t="s">
        <v>33</v>
      </c>
      <c r="C5" s="1">
        <v>4627.7</v>
      </c>
      <c r="D5" s="1" t="s">
        <v>34</v>
      </c>
    </row>
    <row r="6" ht="15.75" collapsed="1"/>
    <row r="7" spans="1:6" ht="15.75">
      <c r="A7" s="3" t="s">
        <v>127</v>
      </c>
      <c r="C7" s="4">
        <f>'2014'!E39</f>
        <v>369410.58199999994</v>
      </c>
      <c r="D7" s="1" t="s">
        <v>38</v>
      </c>
      <c r="F7" s="1" t="s">
        <v>122</v>
      </c>
    </row>
    <row r="8" spans="1:6" ht="47.25">
      <c r="A8" s="25" t="s">
        <v>74</v>
      </c>
      <c r="B8" s="26" t="s">
        <v>75</v>
      </c>
      <c r="C8" s="26" t="s">
        <v>1</v>
      </c>
      <c r="D8" s="26" t="s">
        <v>76</v>
      </c>
      <c r="E8" s="26" t="s">
        <v>77</v>
      </c>
      <c r="F8" s="1" t="s">
        <v>126</v>
      </c>
    </row>
    <row r="9" spans="1:8" ht="32.25" customHeight="1">
      <c r="A9" s="7" t="s">
        <v>3</v>
      </c>
      <c r="B9" s="8">
        <f>'2014'!E9</f>
        <v>-77781.78999999992</v>
      </c>
      <c r="C9" s="8">
        <v>769122.8</v>
      </c>
      <c r="D9" s="8">
        <v>750847.83</v>
      </c>
      <c r="E9" s="8">
        <f aca="true" t="shared" si="0" ref="E9:E14">B9-C9+D9</f>
        <v>-96056.76000000001</v>
      </c>
      <c r="F9" s="1" t="s">
        <v>56</v>
      </c>
      <c r="G9" s="1">
        <v>13.85</v>
      </c>
      <c r="H9" s="4">
        <f>G9*G18*12</f>
        <v>769123.74</v>
      </c>
    </row>
    <row r="10" spans="1:8" ht="15.75">
      <c r="A10" s="7" t="s">
        <v>4</v>
      </c>
      <c r="B10" s="8">
        <v>-6000.299999999996</v>
      </c>
      <c r="C10" s="8">
        <v>57753.96</v>
      </c>
      <c r="D10" s="8">
        <v>56381.66</v>
      </c>
      <c r="E10" s="8">
        <f t="shared" si="0"/>
        <v>-7372.599999999991</v>
      </c>
      <c r="F10" s="1" t="s">
        <v>57</v>
      </c>
      <c r="G10" s="1">
        <f>2.09+1.11</f>
        <v>3.2</v>
      </c>
      <c r="H10" s="4">
        <f>G10*G18*12</f>
        <v>177703.68</v>
      </c>
    </row>
    <row r="11" spans="1:8" ht="31.5">
      <c r="A11" s="7" t="s">
        <v>5</v>
      </c>
      <c r="B11" s="8">
        <v>-3043.59</v>
      </c>
      <c r="C11" s="8">
        <v>28322.76</v>
      </c>
      <c r="D11" s="8">
        <v>27713.5</v>
      </c>
      <c r="E11" s="8">
        <f t="shared" si="0"/>
        <v>-3652.8499999999985</v>
      </c>
      <c r="F11" s="1" t="s">
        <v>58</v>
      </c>
      <c r="G11" s="1">
        <f>2.53+0.69</f>
        <v>3.2199999999999998</v>
      </c>
      <c r="H11" s="4">
        <f>G11*G18*12</f>
        <v>178814.32799999998</v>
      </c>
    </row>
    <row r="12" spans="1:5" ht="31.5">
      <c r="A12" s="7" t="s">
        <v>6</v>
      </c>
      <c r="B12" s="8">
        <v>-1500.0499999999993</v>
      </c>
      <c r="C12" s="8">
        <v>14438.16</v>
      </c>
      <c r="D12" s="8">
        <v>14095.11</v>
      </c>
      <c r="E12" s="8">
        <f t="shared" si="0"/>
        <v>-1843.0999999999985</v>
      </c>
    </row>
    <row r="13" spans="1:5" ht="31.5">
      <c r="A13" s="7" t="s">
        <v>7</v>
      </c>
      <c r="B13" s="8">
        <v>-9078.36</v>
      </c>
      <c r="C13" s="8">
        <v>76271.03</v>
      </c>
      <c r="D13" s="8">
        <v>80371.85</v>
      </c>
      <c r="E13" s="8">
        <f t="shared" si="0"/>
        <v>-4977.539999999994</v>
      </c>
    </row>
    <row r="14" spans="1:5" ht="31.5">
      <c r="A14" s="7" t="s">
        <v>8</v>
      </c>
      <c r="B14" s="8">
        <v>-12877.670000000013</v>
      </c>
      <c r="C14" s="8">
        <v>118656.72</v>
      </c>
      <c r="D14" s="8">
        <v>115027.99</v>
      </c>
      <c r="E14" s="8">
        <f t="shared" si="0"/>
        <v>-16506.40000000001</v>
      </c>
    </row>
    <row r="15" spans="1:5" ht="15.75">
      <c r="A15" s="7" t="s">
        <v>9</v>
      </c>
      <c r="B15" s="9">
        <v>-110281.67999999996</v>
      </c>
      <c r="C15" s="9">
        <f>SUM(C9:C14)</f>
        <v>1064565.4300000002</v>
      </c>
      <c r="D15" s="9">
        <f>SUM(D9:D14)</f>
        <v>1044437.94</v>
      </c>
      <c r="E15" s="9">
        <f>SUM(E9:E14)</f>
        <v>-130409.25</v>
      </c>
    </row>
    <row r="16" ht="15.75">
      <c r="A16" s="3"/>
    </row>
    <row r="17" spans="1:6" s="27" customFormat="1" ht="15.75">
      <c r="A17" s="130" t="s">
        <v>78</v>
      </c>
      <c r="B17" s="130"/>
      <c r="C17" s="130"/>
      <c r="D17" s="130"/>
      <c r="E17" s="130"/>
      <c r="F17" s="130"/>
    </row>
    <row r="18" spans="1:8" s="27" customFormat="1" ht="15.75">
      <c r="A18" s="28"/>
      <c r="B18" s="28"/>
      <c r="C18" s="28"/>
      <c r="D18" s="28"/>
      <c r="E18" s="28"/>
      <c r="F18" s="28"/>
      <c r="G18" s="27">
        <f>C5</f>
        <v>4627.7</v>
      </c>
      <c r="H18" s="27" t="s">
        <v>90</v>
      </c>
    </row>
    <row r="19" spans="1:7" s="27" customFormat="1" ht="33" customHeight="1">
      <c r="A19" s="26" t="s">
        <v>79</v>
      </c>
      <c r="B19" s="131" t="s">
        <v>11</v>
      </c>
      <c r="C19" s="132"/>
      <c r="D19" s="133"/>
      <c r="E19" s="29" t="s">
        <v>12</v>
      </c>
      <c r="G19" s="30"/>
    </row>
    <row r="20" spans="1:10" s="27" customFormat="1" ht="18" customHeight="1">
      <c r="A20" s="31">
        <v>1</v>
      </c>
      <c r="B20" s="134" t="s">
        <v>80</v>
      </c>
      <c r="C20" s="135"/>
      <c r="D20" s="136"/>
      <c r="E20" s="32">
        <f>H10</f>
        <v>177703.68</v>
      </c>
      <c r="G20" s="33"/>
      <c r="H20" s="74" t="s">
        <v>81</v>
      </c>
      <c r="I20" s="25" t="s">
        <v>82</v>
      </c>
      <c r="J20" s="25" t="s">
        <v>83</v>
      </c>
    </row>
    <row r="21" spans="1:10" s="27" customFormat="1" ht="18" customHeight="1">
      <c r="A21" s="34">
        <v>2</v>
      </c>
      <c r="B21" s="119" t="s">
        <v>6</v>
      </c>
      <c r="C21" s="120"/>
      <c r="D21" s="121"/>
      <c r="E21" s="35">
        <f>C12</f>
        <v>14438.16</v>
      </c>
      <c r="G21" s="33"/>
      <c r="H21" s="25"/>
      <c r="I21" s="25">
        <v>4348</v>
      </c>
      <c r="J21" s="25">
        <v>7609</v>
      </c>
    </row>
    <row r="22" spans="1:10" s="27" customFormat="1" ht="18" customHeight="1">
      <c r="A22" s="34">
        <v>3</v>
      </c>
      <c r="B22" s="119" t="s">
        <v>84</v>
      </c>
      <c r="C22" s="120"/>
      <c r="D22" s="121"/>
      <c r="E22" s="35">
        <f>H11</f>
        <v>178814.32799999998</v>
      </c>
      <c r="F22" s="27">
        <f>E22/12</f>
        <v>14901.193999999998</v>
      </c>
      <c r="H22" s="25"/>
      <c r="I22" s="25">
        <f>I21*12</f>
        <v>52176</v>
      </c>
      <c r="J22" s="25">
        <f>J21*12</f>
        <v>91308</v>
      </c>
    </row>
    <row r="23" spans="1:10" s="27" customFormat="1" ht="18" customHeight="1">
      <c r="A23" s="34">
        <v>4</v>
      </c>
      <c r="B23" s="119" t="s">
        <v>101</v>
      </c>
      <c r="C23" s="120"/>
      <c r="D23" s="121"/>
      <c r="E23" s="35">
        <f>'2014'!E36</f>
        <v>133820.53</v>
      </c>
      <c r="F23" s="48"/>
      <c r="H23" s="25"/>
      <c r="I23" s="78" t="s">
        <v>100</v>
      </c>
      <c r="J23" s="79">
        <f>706.18*1.202</f>
        <v>848.8283599999999</v>
      </c>
    </row>
    <row r="24" spans="1:10" s="27" customFormat="1" ht="18" customHeight="1">
      <c r="A24" s="34">
        <v>5</v>
      </c>
      <c r="B24" s="119" t="s">
        <v>85</v>
      </c>
      <c r="C24" s="120"/>
      <c r="D24" s="121"/>
      <c r="E24" s="35">
        <f>E26+E27+E28+E25</f>
        <v>94042</v>
      </c>
      <c r="F24" s="67">
        <f>E80-E29</f>
        <v>94042</v>
      </c>
      <c r="G24" s="33"/>
      <c r="H24" s="25"/>
      <c r="I24" s="25"/>
      <c r="J24" s="79">
        <v>829.38</v>
      </c>
    </row>
    <row r="25" spans="1:7" s="27" customFormat="1" ht="16.5" customHeight="1">
      <c r="A25" s="34" t="s">
        <v>13</v>
      </c>
      <c r="B25" s="119" t="s">
        <v>120</v>
      </c>
      <c r="C25" s="120"/>
      <c r="D25" s="121"/>
      <c r="E25" s="36">
        <f>E44</f>
        <v>4296</v>
      </c>
      <c r="G25" s="37"/>
    </row>
    <row r="26" spans="1:5" s="27" customFormat="1" ht="16.5" customHeight="1">
      <c r="A26" s="34" t="s">
        <v>13</v>
      </c>
      <c r="B26" s="119" t="s">
        <v>86</v>
      </c>
      <c r="C26" s="120"/>
      <c r="D26" s="121"/>
      <c r="E26" s="36">
        <f>E45+E47+E48+E50+E52+E53+E54+E57+E58+E59+E62+E64+E65+E66+E67+E68+E69+E73+E75+E77+E78</f>
        <v>81140</v>
      </c>
    </row>
    <row r="27" spans="1:7" s="27" customFormat="1" ht="16.5" customHeight="1">
      <c r="A27" s="34" t="s">
        <v>13</v>
      </c>
      <c r="B27" s="119" t="s">
        <v>87</v>
      </c>
      <c r="C27" s="120"/>
      <c r="D27" s="121"/>
      <c r="E27" s="36">
        <f>E46+E49+E55+E60+E61+E63+E71+E72+E74+E76</f>
        <v>7391</v>
      </c>
      <c r="G27" s="37"/>
    </row>
    <row r="28" spans="1:12" s="27" customFormat="1" ht="15.75">
      <c r="A28" s="34" t="s">
        <v>13</v>
      </c>
      <c r="B28" s="119" t="s">
        <v>88</v>
      </c>
      <c r="C28" s="120"/>
      <c r="D28" s="121"/>
      <c r="E28" s="36">
        <f>E51+E70</f>
        <v>1215</v>
      </c>
      <c r="G28" s="37"/>
      <c r="J28" s="128" t="s">
        <v>128</v>
      </c>
      <c r="K28" s="128"/>
      <c r="L28" s="128"/>
    </row>
    <row r="29" spans="1:12" s="27" customFormat="1" ht="30.75" customHeight="1">
      <c r="A29" s="34">
        <v>6</v>
      </c>
      <c r="B29" s="119" t="s">
        <v>121</v>
      </c>
      <c r="C29" s="120"/>
      <c r="D29" s="121"/>
      <c r="E29" s="36">
        <f>E56</f>
        <v>13000</v>
      </c>
      <c r="G29" s="80" t="s">
        <v>135</v>
      </c>
      <c r="H29" s="75">
        <v>950</v>
      </c>
      <c r="J29" s="25" t="s">
        <v>129</v>
      </c>
      <c r="K29" s="25" t="s">
        <v>130</v>
      </c>
      <c r="L29" s="25" t="s">
        <v>131</v>
      </c>
    </row>
    <row r="30" spans="1:12" s="27" customFormat="1" ht="31.5" customHeight="1">
      <c r="A30" s="34">
        <v>7</v>
      </c>
      <c r="B30" s="119" t="s">
        <v>113</v>
      </c>
      <c r="C30" s="120"/>
      <c r="D30" s="121"/>
      <c r="E30" s="36">
        <f>C14</f>
        <v>118656.72</v>
      </c>
      <c r="G30" s="37"/>
      <c r="J30" s="25">
        <f>2*2340</f>
        <v>4680</v>
      </c>
      <c r="K30" s="25">
        <f>200*2</f>
        <v>400</v>
      </c>
      <c r="L30" s="25" t="s">
        <v>132</v>
      </c>
    </row>
    <row r="31" spans="1:12" s="27" customFormat="1" ht="17.25" customHeight="1">
      <c r="A31" s="34">
        <v>8</v>
      </c>
      <c r="B31" s="119" t="s">
        <v>112</v>
      </c>
      <c r="C31" s="120"/>
      <c r="D31" s="121"/>
      <c r="E31" s="36">
        <f>SUM(H31:H38)</f>
        <v>18600</v>
      </c>
      <c r="G31" s="74" t="s">
        <v>105</v>
      </c>
      <c r="H31" s="75">
        <v>1800</v>
      </c>
      <c r="J31" s="25">
        <f>2340*2</f>
        <v>4680</v>
      </c>
      <c r="K31" s="25">
        <f>200*2</f>
        <v>400</v>
      </c>
      <c r="L31" s="25" t="s">
        <v>133</v>
      </c>
    </row>
    <row r="32" spans="1:12" s="24" customFormat="1" ht="15.75">
      <c r="A32" s="34">
        <v>9</v>
      </c>
      <c r="B32" s="119" t="s">
        <v>124</v>
      </c>
      <c r="C32" s="120"/>
      <c r="D32" s="121"/>
      <c r="E32" s="36">
        <f>C10+C11</f>
        <v>86076.72</v>
      </c>
      <c r="G32" s="76"/>
      <c r="H32" s="75">
        <v>1600</v>
      </c>
      <c r="J32" s="25">
        <f>2340*2</f>
        <v>4680</v>
      </c>
      <c r="K32" s="25">
        <f>200*2</f>
        <v>400</v>
      </c>
      <c r="L32" s="25" t="s">
        <v>134</v>
      </c>
    </row>
    <row r="33" spans="1:12" s="27" customFormat="1" ht="15.75">
      <c r="A33" s="34">
        <v>10</v>
      </c>
      <c r="B33" s="119" t="s">
        <v>7</v>
      </c>
      <c r="C33" s="120"/>
      <c r="D33" s="121"/>
      <c r="E33" s="36">
        <f>C13</f>
        <v>76271.03</v>
      </c>
      <c r="G33" s="25"/>
      <c r="H33" s="75">
        <v>2400</v>
      </c>
      <c r="J33" s="25">
        <v>4680</v>
      </c>
      <c r="K33" s="25">
        <v>400</v>
      </c>
      <c r="L33" s="25" t="s">
        <v>136</v>
      </c>
    </row>
    <row r="34" spans="1:12" s="27" customFormat="1" ht="18" customHeight="1">
      <c r="A34" s="34">
        <v>11</v>
      </c>
      <c r="B34" s="119" t="s">
        <v>125</v>
      </c>
      <c r="C34" s="120"/>
      <c r="D34" s="121"/>
      <c r="E34" s="36">
        <f>H29*12</f>
        <v>11400</v>
      </c>
      <c r="F34" s="27" t="s">
        <v>123</v>
      </c>
      <c r="G34" s="25"/>
      <c r="H34" s="75">
        <v>3000</v>
      </c>
      <c r="J34" s="25"/>
      <c r="K34" s="25"/>
      <c r="L34" s="25"/>
    </row>
    <row r="35" spans="1:12" s="27" customFormat="1" ht="20.25" customHeight="1">
      <c r="A35" s="38"/>
      <c r="B35" s="122" t="s">
        <v>89</v>
      </c>
      <c r="C35" s="123"/>
      <c r="D35" s="124"/>
      <c r="E35" s="39">
        <f>E20+E21+E23+E24+E34+E31+E32+E29+E30+E33+E22</f>
        <v>922823.168</v>
      </c>
      <c r="G35" s="25"/>
      <c r="H35" s="75">
        <v>800</v>
      </c>
      <c r="J35" s="25"/>
      <c r="K35" s="25"/>
      <c r="L35" s="25"/>
    </row>
    <row r="36" spans="1:12" s="27" customFormat="1" ht="18" customHeight="1">
      <c r="A36" s="40"/>
      <c r="G36" s="25"/>
      <c r="H36" s="75">
        <v>6000</v>
      </c>
      <c r="J36" s="25"/>
      <c r="K36" s="25"/>
      <c r="L36" s="25"/>
    </row>
    <row r="37" spans="1:12" ht="15.75">
      <c r="A37" s="68" t="s">
        <v>119</v>
      </c>
      <c r="B37" s="69"/>
      <c r="C37" s="69"/>
      <c r="D37" s="70"/>
      <c r="E37" s="36">
        <f>C7+C15-E35</f>
        <v>511152.84400000016</v>
      </c>
      <c r="G37" s="14"/>
      <c r="H37" s="77">
        <v>1800</v>
      </c>
      <c r="J37" s="14"/>
      <c r="K37" s="14"/>
      <c r="L37" s="14"/>
    </row>
    <row r="38" spans="1:12" ht="15.75">
      <c r="A38" s="68" t="s">
        <v>115</v>
      </c>
      <c r="B38" s="69"/>
      <c r="C38" s="69"/>
      <c r="D38" s="70"/>
      <c r="E38" s="36">
        <f>E15</f>
        <v>-130409.25</v>
      </c>
      <c r="G38" s="14" t="s">
        <v>117</v>
      </c>
      <c r="H38" s="77">
        <v>1200</v>
      </c>
      <c r="J38" s="14"/>
      <c r="K38" s="14"/>
      <c r="L38" s="14"/>
    </row>
    <row r="39" spans="1:5" ht="15.75">
      <c r="A39" s="71" t="s">
        <v>116</v>
      </c>
      <c r="B39" s="72"/>
      <c r="C39" s="72"/>
      <c r="D39" s="73"/>
      <c r="E39" s="36">
        <f>E37+E38</f>
        <v>380743.59400000016</v>
      </c>
    </row>
    <row r="40" ht="15.75">
      <c r="A40" s="11"/>
    </row>
    <row r="41" spans="1:5" s="50" customFormat="1" ht="15.75">
      <c r="A41" s="125" t="s">
        <v>69</v>
      </c>
      <c r="B41" s="125"/>
      <c r="C41" s="125"/>
      <c r="D41" s="125"/>
      <c r="E41" s="125"/>
    </row>
    <row r="42" spans="1:5" s="50" customFormat="1" ht="15.75">
      <c r="A42" s="20"/>
      <c r="B42" s="1"/>
      <c r="C42" s="1"/>
      <c r="D42" s="1"/>
      <c r="E42" s="1"/>
    </row>
    <row r="43" spans="1:5" s="50" customFormat="1" ht="15">
      <c r="A43" s="21" t="s">
        <v>25</v>
      </c>
      <c r="B43" s="117" t="s">
        <v>26</v>
      </c>
      <c r="C43" s="117"/>
      <c r="D43" s="117"/>
      <c r="E43" s="21" t="s">
        <v>27</v>
      </c>
    </row>
    <row r="44" spans="1:6" s="51" customFormat="1" ht="15">
      <c r="A44" s="18" t="s">
        <v>110</v>
      </c>
      <c r="B44" s="118" t="s">
        <v>111</v>
      </c>
      <c r="C44" s="118"/>
      <c r="D44" s="118"/>
      <c r="E44" s="58">
        <f>2*12*179</f>
        <v>4296</v>
      </c>
      <c r="F44" s="51" t="s">
        <v>114</v>
      </c>
    </row>
    <row r="45" spans="1:5" s="51" customFormat="1" ht="15">
      <c r="A45" s="18">
        <v>42016</v>
      </c>
      <c r="B45" s="118" t="s">
        <v>18</v>
      </c>
      <c r="C45" s="118"/>
      <c r="D45" s="118"/>
      <c r="E45" s="58">
        <v>3055</v>
      </c>
    </row>
    <row r="46" spans="1:6" s="51" customFormat="1" ht="15">
      <c r="A46" s="18">
        <v>42030</v>
      </c>
      <c r="B46" s="118" t="s">
        <v>91</v>
      </c>
      <c r="C46" s="118"/>
      <c r="D46" s="118"/>
      <c r="E46" s="58">
        <v>528</v>
      </c>
      <c r="F46" s="51" t="s">
        <v>114</v>
      </c>
    </row>
    <row r="47" spans="1:6" s="51" customFormat="1" ht="15">
      <c r="A47" s="41">
        <v>42046</v>
      </c>
      <c r="B47" s="143" t="s">
        <v>18</v>
      </c>
      <c r="C47" s="143"/>
      <c r="D47" s="143"/>
      <c r="E47" s="59">
        <v>14191</v>
      </c>
      <c r="F47" s="51" t="s">
        <v>114</v>
      </c>
    </row>
    <row r="48" spans="1:5" s="52" customFormat="1" ht="15">
      <c r="A48" s="41">
        <v>42048</v>
      </c>
      <c r="B48" s="143" t="s">
        <v>18</v>
      </c>
      <c r="C48" s="143"/>
      <c r="D48" s="143"/>
      <c r="E48" s="59">
        <v>15918</v>
      </c>
    </row>
    <row r="49" spans="1:6" s="53" customFormat="1" ht="15">
      <c r="A49" s="41">
        <v>42048</v>
      </c>
      <c r="B49" s="143" t="s">
        <v>92</v>
      </c>
      <c r="C49" s="143"/>
      <c r="D49" s="143"/>
      <c r="E49" s="59">
        <v>492</v>
      </c>
      <c r="F49" s="53" t="s">
        <v>114</v>
      </c>
    </row>
    <row r="50" spans="1:5" s="53" customFormat="1" ht="15">
      <c r="A50" s="41">
        <v>42054</v>
      </c>
      <c r="B50" s="143" t="s">
        <v>104</v>
      </c>
      <c r="C50" s="143"/>
      <c r="D50" s="143"/>
      <c r="E50" s="59">
        <v>3800</v>
      </c>
    </row>
    <row r="51" spans="1:6" s="54" customFormat="1" ht="15.75" customHeight="1">
      <c r="A51" s="42">
        <v>42088</v>
      </c>
      <c r="B51" s="150" t="s">
        <v>93</v>
      </c>
      <c r="C51" s="150"/>
      <c r="D51" s="150"/>
      <c r="E51" s="60">
        <v>432</v>
      </c>
      <c r="F51" s="54" t="s">
        <v>114</v>
      </c>
    </row>
    <row r="52" spans="1:6" s="54" customFormat="1" ht="15.75" customHeight="1">
      <c r="A52" s="43">
        <v>42139</v>
      </c>
      <c r="B52" s="144" t="s">
        <v>94</v>
      </c>
      <c r="C52" s="144"/>
      <c r="D52" s="144"/>
      <c r="E52" s="61">
        <v>654</v>
      </c>
      <c r="F52" s="54" t="s">
        <v>114</v>
      </c>
    </row>
    <row r="53" spans="1:6" s="54" customFormat="1" ht="15.75" customHeight="1">
      <c r="A53" s="43">
        <v>42143</v>
      </c>
      <c r="B53" s="144" t="s">
        <v>18</v>
      </c>
      <c r="C53" s="144"/>
      <c r="D53" s="144"/>
      <c r="E53" s="61">
        <v>12456</v>
      </c>
      <c r="F53" s="54" t="s">
        <v>114</v>
      </c>
    </row>
    <row r="54" spans="1:6" s="54" customFormat="1" ht="15">
      <c r="A54" s="44">
        <v>42157</v>
      </c>
      <c r="B54" s="141" t="s">
        <v>18</v>
      </c>
      <c r="C54" s="141"/>
      <c r="D54" s="141"/>
      <c r="E54" s="62">
        <v>3349</v>
      </c>
      <c r="F54" s="54" t="s">
        <v>114</v>
      </c>
    </row>
    <row r="55" spans="1:5" s="54" customFormat="1" ht="15">
      <c r="A55" s="44">
        <v>42158</v>
      </c>
      <c r="B55" s="141" t="s">
        <v>92</v>
      </c>
      <c r="C55" s="141"/>
      <c r="D55" s="141"/>
      <c r="E55" s="62">
        <v>492</v>
      </c>
    </row>
    <row r="56" spans="1:5" s="55" customFormat="1" ht="15">
      <c r="A56" s="44">
        <v>42178</v>
      </c>
      <c r="B56" s="141" t="s">
        <v>106</v>
      </c>
      <c r="C56" s="141"/>
      <c r="D56" s="141"/>
      <c r="E56" s="62">
        <v>13000</v>
      </c>
    </row>
    <row r="57" spans="1:5" s="55" customFormat="1" ht="15">
      <c r="A57" s="45">
        <v>42205</v>
      </c>
      <c r="B57" s="146" t="s">
        <v>94</v>
      </c>
      <c r="C57" s="147"/>
      <c r="D57" s="148"/>
      <c r="E57" s="63">
        <v>654</v>
      </c>
    </row>
    <row r="58" spans="1:5" s="55" customFormat="1" ht="15">
      <c r="A58" s="45">
        <v>42207</v>
      </c>
      <c r="B58" s="146" t="s">
        <v>95</v>
      </c>
      <c r="C58" s="147"/>
      <c r="D58" s="148"/>
      <c r="E58" s="63">
        <v>2377</v>
      </c>
    </row>
    <row r="59" spans="1:5" s="56" customFormat="1" ht="15">
      <c r="A59" s="46">
        <v>42223</v>
      </c>
      <c r="B59" s="145" t="s">
        <v>96</v>
      </c>
      <c r="C59" s="145"/>
      <c r="D59" s="145"/>
      <c r="E59" s="64">
        <v>1831</v>
      </c>
    </row>
    <row r="60" spans="1:5" s="56" customFormat="1" ht="15.75" customHeight="1">
      <c r="A60" s="46">
        <v>42234</v>
      </c>
      <c r="B60" s="145" t="s">
        <v>97</v>
      </c>
      <c r="C60" s="145"/>
      <c r="D60" s="145"/>
      <c r="E60" s="64">
        <v>201</v>
      </c>
    </row>
    <row r="61" spans="1:5" s="57" customFormat="1" ht="15">
      <c r="A61" s="46">
        <v>42237</v>
      </c>
      <c r="B61" s="145" t="s">
        <v>98</v>
      </c>
      <c r="C61" s="145"/>
      <c r="D61" s="145"/>
      <c r="E61" s="64">
        <v>223</v>
      </c>
    </row>
    <row r="62" spans="1:5" s="57" customFormat="1" ht="15">
      <c r="A62" s="47">
        <v>42265</v>
      </c>
      <c r="B62" s="149" t="s">
        <v>99</v>
      </c>
      <c r="C62" s="149"/>
      <c r="D62" s="149"/>
      <c r="E62" s="65">
        <v>654</v>
      </c>
    </row>
    <row r="63" spans="1:5" s="57" customFormat="1" ht="15">
      <c r="A63" s="47">
        <v>42276</v>
      </c>
      <c r="B63" s="149" t="s">
        <v>16</v>
      </c>
      <c r="C63" s="149"/>
      <c r="D63" s="149"/>
      <c r="E63" s="65">
        <v>446</v>
      </c>
    </row>
    <row r="64" spans="1:5" s="57" customFormat="1" ht="32.25" customHeight="1">
      <c r="A64" s="49">
        <v>42289</v>
      </c>
      <c r="B64" s="142" t="s">
        <v>99</v>
      </c>
      <c r="C64" s="142"/>
      <c r="D64" s="142"/>
      <c r="E64" s="66">
        <v>654</v>
      </c>
    </row>
    <row r="65" spans="1:5" s="57" customFormat="1" ht="31.5" customHeight="1">
      <c r="A65" s="49">
        <v>42291</v>
      </c>
      <c r="B65" s="142" t="s">
        <v>102</v>
      </c>
      <c r="C65" s="142"/>
      <c r="D65" s="142"/>
      <c r="E65" s="66">
        <v>2049</v>
      </c>
    </row>
    <row r="66" spans="1:5" s="50" customFormat="1" ht="32.25" customHeight="1">
      <c r="A66" s="49">
        <v>42299</v>
      </c>
      <c r="B66" s="142" t="s">
        <v>103</v>
      </c>
      <c r="C66" s="142"/>
      <c r="D66" s="142"/>
      <c r="E66" s="66">
        <v>1308</v>
      </c>
    </row>
    <row r="67" spans="1:5" s="50" customFormat="1" ht="15.75" customHeight="1">
      <c r="A67" s="49">
        <v>42303</v>
      </c>
      <c r="B67" s="142" t="s">
        <v>99</v>
      </c>
      <c r="C67" s="142"/>
      <c r="D67" s="142"/>
      <c r="E67" s="66">
        <v>654</v>
      </c>
    </row>
    <row r="68" spans="1:5" s="50" customFormat="1" ht="15.75" customHeight="1">
      <c r="A68" s="49">
        <v>42305</v>
      </c>
      <c r="B68" s="142" t="s">
        <v>18</v>
      </c>
      <c r="C68" s="142"/>
      <c r="D68" s="142"/>
      <c r="E68" s="66">
        <v>5429</v>
      </c>
    </row>
    <row r="69" spans="1:5" s="50" customFormat="1" ht="15.75" customHeight="1">
      <c r="A69" s="18">
        <v>42317</v>
      </c>
      <c r="B69" s="118" t="s">
        <v>18</v>
      </c>
      <c r="C69" s="118"/>
      <c r="D69" s="118"/>
      <c r="E69" s="58">
        <v>7904</v>
      </c>
    </row>
    <row r="70" spans="1:5" s="50" customFormat="1" ht="15.75" customHeight="1">
      <c r="A70" s="18">
        <v>42320</v>
      </c>
      <c r="B70" s="118" t="s">
        <v>107</v>
      </c>
      <c r="C70" s="118"/>
      <c r="D70" s="118"/>
      <c r="E70" s="58">
        <v>783</v>
      </c>
    </row>
    <row r="71" spans="1:5" s="50" customFormat="1" ht="15.75" customHeight="1">
      <c r="A71" s="18">
        <v>42326</v>
      </c>
      <c r="B71" s="118" t="s">
        <v>109</v>
      </c>
      <c r="C71" s="118"/>
      <c r="D71" s="118"/>
      <c r="E71" s="58">
        <v>775</v>
      </c>
    </row>
    <row r="72" spans="1:5" s="50" customFormat="1" ht="15.75" customHeight="1">
      <c r="A72" s="18">
        <v>42328</v>
      </c>
      <c r="B72" s="118" t="s">
        <v>109</v>
      </c>
      <c r="C72" s="118"/>
      <c r="D72" s="118"/>
      <c r="E72" s="58">
        <v>684</v>
      </c>
    </row>
    <row r="73" spans="1:5" s="50" customFormat="1" ht="15">
      <c r="A73" s="18">
        <v>42338</v>
      </c>
      <c r="B73" s="118" t="s">
        <v>108</v>
      </c>
      <c r="C73" s="118"/>
      <c r="D73" s="118"/>
      <c r="E73" s="58">
        <v>1174</v>
      </c>
    </row>
    <row r="74" spans="1:6" s="82" customFormat="1" ht="15">
      <c r="A74" s="18">
        <v>42341</v>
      </c>
      <c r="B74" s="118" t="s">
        <v>109</v>
      </c>
      <c r="C74" s="118"/>
      <c r="D74" s="118"/>
      <c r="E74" s="58">
        <f>800+697</f>
        <v>1497</v>
      </c>
      <c r="F74" s="81"/>
    </row>
    <row r="75" spans="1:6" s="82" customFormat="1" ht="30" customHeight="1">
      <c r="A75" s="18">
        <v>42348</v>
      </c>
      <c r="B75" s="118" t="s">
        <v>99</v>
      </c>
      <c r="C75" s="118"/>
      <c r="D75" s="118"/>
      <c r="E75" s="58">
        <v>931</v>
      </c>
      <c r="F75" s="81"/>
    </row>
    <row r="76" spans="1:5" s="50" customFormat="1" ht="30.75" customHeight="1">
      <c r="A76" s="18">
        <v>42349</v>
      </c>
      <c r="B76" s="118" t="s">
        <v>118</v>
      </c>
      <c r="C76" s="118"/>
      <c r="D76" s="118"/>
      <c r="E76" s="58">
        <v>2053</v>
      </c>
    </row>
    <row r="77" spans="1:6" s="82" customFormat="1" ht="15">
      <c r="A77" s="18">
        <v>42353</v>
      </c>
      <c r="B77" s="118" t="s">
        <v>99</v>
      </c>
      <c r="C77" s="118"/>
      <c r="D77" s="118"/>
      <c r="E77" s="58">
        <v>654</v>
      </c>
      <c r="F77" s="81"/>
    </row>
    <row r="78" spans="1:5" ht="15.75">
      <c r="A78" s="18">
        <v>42356</v>
      </c>
      <c r="B78" s="118" t="s">
        <v>102</v>
      </c>
      <c r="C78" s="118"/>
      <c r="D78" s="118"/>
      <c r="E78" s="58">
        <v>1444</v>
      </c>
    </row>
    <row r="79" spans="1:5" ht="15.75">
      <c r="A79" s="18"/>
      <c r="B79" s="118"/>
      <c r="C79" s="118"/>
      <c r="D79" s="118"/>
      <c r="E79" s="58"/>
    </row>
    <row r="80" spans="1:5" ht="15.75">
      <c r="A80" s="114" t="s">
        <v>72</v>
      </c>
      <c r="B80" s="115"/>
      <c r="C80" s="115"/>
      <c r="D80" s="116"/>
      <c r="E80" s="23">
        <f>SUM(E44:E79)</f>
        <v>107042</v>
      </c>
    </row>
    <row r="81" spans="1:5" ht="15.75">
      <c r="A81" s="20"/>
      <c r="E81" s="13"/>
    </row>
    <row r="82" ht="15.75">
      <c r="A82" s="20"/>
    </row>
  </sheetData>
  <sheetProtection/>
  <mergeCells count="60">
    <mergeCell ref="J28:L28"/>
    <mergeCell ref="B33:D33"/>
    <mergeCell ref="B77:D77"/>
    <mergeCell ref="B79:D79"/>
    <mergeCell ref="B31:D31"/>
    <mergeCell ref="B32:D32"/>
    <mergeCell ref="B44:D44"/>
    <mergeCell ref="B46:D46"/>
    <mergeCell ref="B64:D64"/>
    <mergeCell ref="B65:D65"/>
    <mergeCell ref="A41:E41"/>
    <mergeCell ref="B55:D55"/>
    <mergeCell ref="A80:D80"/>
    <mergeCell ref="B48:D48"/>
    <mergeCell ref="B47:D47"/>
    <mergeCell ref="B49:D49"/>
    <mergeCell ref="B51:D51"/>
    <mergeCell ref="B78:D78"/>
    <mergeCell ref="B54:D54"/>
    <mergeCell ref="B53:D53"/>
    <mergeCell ref="B75:D75"/>
    <mergeCell ref="B61:D61"/>
    <mergeCell ref="B57:D57"/>
    <mergeCell ref="B62:D62"/>
    <mergeCell ref="B63:D63"/>
    <mergeCell ref="B71:D71"/>
    <mergeCell ref="B59:D59"/>
    <mergeCell ref="B68:D68"/>
    <mergeCell ref="B58:D58"/>
    <mergeCell ref="B60:D60"/>
    <mergeCell ref="B30:D30"/>
    <mergeCell ref="B29:D29"/>
    <mergeCell ref="A17:F17"/>
    <mergeCell ref="B19:D19"/>
    <mergeCell ref="B45:D45"/>
    <mergeCell ref="B20:D20"/>
    <mergeCell ref="B24:D24"/>
    <mergeCell ref="B22:D22"/>
    <mergeCell ref="B28:D28"/>
    <mergeCell ref="B25:D25"/>
    <mergeCell ref="B52:D52"/>
    <mergeCell ref="B72:D72"/>
    <mergeCell ref="A1:E1"/>
    <mergeCell ref="A2:E2"/>
    <mergeCell ref="B21:D21"/>
    <mergeCell ref="B23:D23"/>
    <mergeCell ref="B27:D27"/>
    <mergeCell ref="B35:D35"/>
    <mergeCell ref="B26:D26"/>
    <mergeCell ref="B34:D34"/>
    <mergeCell ref="B76:D76"/>
    <mergeCell ref="B74:D74"/>
    <mergeCell ref="B73:D73"/>
    <mergeCell ref="B69:D69"/>
    <mergeCell ref="B56:D56"/>
    <mergeCell ref="B43:D43"/>
    <mergeCell ref="B70:D70"/>
    <mergeCell ref="B66:D66"/>
    <mergeCell ref="B67:D67"/>
    <mergeCell ref="B50:D50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="106" zoomScaleSheetLayoutView="106" zoomScalePageLayoutView="0" workbookViewId="0" topLeftCell="A22">
      <selection activeCell="E36" sqref="E36"/>
    </sheetView>
  </sheetViews>
  <sheetFormatPr defaultColWidth="9.140625" defaultRowHeight="15" outlineLevelRow="1"/>
  <cols>
    <col min="1" max="1" width="18.421875" style="1" customWidth="1"/>
    <col min="2" max="2" width="16.7109375" style="1" customWidth="1"/>
    <col min="3" max="4" width="16.00390625" style="1" customWidth="1"/>
    <col min="5" max="5" width="15.7109375" style="1" customWidth="1"/>
    <col min="6" max="6" width="12.00390625" style="1" bestFit="1" customWidth="1"/>
    <col min="7" max="7" width="14.140625" style="1" customWidth="1"/>
    <col min="8" max="16384" width="9.140625" style="1" customWidth="1"/>
  </cols>
  <sheetData>
    <row r="1" spans="1:5" ht="15.75">
      <c r="A1" s="129" t="s">
        <v>71</v>
      </c>
      <c r="B1" s="129"/>
      <c r="C1" s="129"/>
      <c r="D1" s="129"/>
      <c r="E1" s="129"/>
    </row>
    <row r="2" spans="1:8" ht="15.75">
      <c r="A2" s="129" t="s">
        <v>70</v>
      </c>
      <c r="B2" s="129"/>
      <c r="C2" s="129"/>
      <c r="D2" s="129"/>
      <c r="E2" s="129"/>
      <c r="F2" s="1" t="s">
        <v>56</v>
      </c>
      <c r="G2" s="1">
        <v>13.85</v>
      </c>
      <c r="H2" s="1">
        <f>G2*12*G17</f>
        <v>769123.7399999999</v>
      </c>
    </row>
    <row r="3" spans="1:8" ht="15.75">
      <c r="A3" s="2"/>
      <c r="F3" s="1" t="s">
        <v>57</v>
      </c>
      <c r="G3" s="1">
        <f>2.09+1.11</f>
        <v>3.2</v>
      </c>
      <c r="H3" s="1">
        <f>G3*12*G17</f>
        <v>177703.68000000002</v>
      </c>
    </row>
    <row r="4" spans="1:8" ht="15.75">
      <c r="A4" s="1" t="s">
        <v>0</v>
      </c>
      <c r="F4" s="1" t="s">
        <v>58</v>
      </c>
      <c r="G4" s="1">
        <f>2.53+0.6</f>
        <v>3.13</v>
      </c>
      <c r="H4" s="1">
        <f>G4*12*G17</f>
        <v>173816.412</v>
      </c>
    </row>
    <row r="5" spans="1:4" ht="15.75">
      <c r="A5" s="1" t="s">
        <v>33</v>
      </c>
      <c r="C5" s="1">
        <v>4627.7</v>
      </c>
      <c r="D5" s="1" t="s">
        <v>34</v>
      </c>
    </row>
    <row r="7" spans="1:4" ht="15.75">
      <c r="A7" s="3" t="s">
        <v>37</v>
      </c>
      <c r="C7" s="4">
        <f>295046.86+B15</f>
        <v>190453.3</v>
      </c>
      <c r="D7" s="1" t="s">
        <v>38</v>
      </c>
    </row>
    <row r="8" spans="1:5" ht="47.25">
      <c r="A8" s="5"/>
      <c r="B8" s="6" t="s">
        <v>32</v>
      </c>
      <c r="C8" s="6" t="s">
        <v>1</v>
      </c>
      <c r="D8" s="6" t="s">
        <v>2</v>
      </c>
      <c r="E8" s="6" t="s">
        <v>55</v>
      </c>
    </row>
    <row r="9" spans="1:8" ht="32.25" customHeight="1">
      <c r="A9" s="7" t="s">
        <v>3</v>
      </c>
      <c r="B9" s="8">
        <v>-78360.33</v>
      </c>
      <c r="C9" s="8">
        <v>769122.82</v>
      </c>
      <c r="D9" s="8">
        <v>769701.36</v>
      </c>
      <c r="E9" s="8">
        <f aca="true" t="shared" si="0" ref="E9:E14">B9-C9+D9</f>
        <v>-77781.78999999992</v>
      </c>
      <c r="G9" s="153"/>
      <c r="H9" s="153"/>
    </row>
    <row r="10" spans="1:5" ht="15.75">
      <c r="A10" s="7" t="s">
        <v>4</v>
      </c>
      <c r="B10" s="8">
        <v>-5884.13</v>
      </c>
      <c r="C10" s="8">
        <v>57753.96</v>
      </c>
      <c r="D10" s="8">
        <v>57637.79</v>
      </c>
      <c r="E10" s="8">
        <f t="shared" si="0"/>
        <v>-6000.299999999996</v>
      </c>
    </row>
    <row r="11" spans="1:5" ht="31.5">
      <c r="A11" s="7" t="s">
        <v>5</v>
      </c>
      <c r="B11" s="8">
        <v>-4655.07</v>
      </c>
      <c r="C11" s="8">
        <v>28322.76</v>
      </c>
      <c r="D11" s="8">
        <v>29934.24</v>
      </c>
      <c r="E11" s="8">
        <f t="shared" si="0"/>
        <v>-3043.59</v>
      </c>
    </row>
    <row r="12" spans="1:5" ht="31.5">
      <c r="A12" s="7" t="s">
        <v>6</v>
      </c>
      <c r="B12" s="8">
        <v>-1471.01</v>
      </c>
      <c r="C12" s="8">
        <v>14438.16</v>
      </c>
      <c r="D12" s="8">
        <v>14409.12</v>
      </c>
      <c r="E12" s="8">
        <f t="shared" si="0"/>
        <v>-1500.0499999999993</v>
      </c>
    </row>
    <row r="13" spans="1:5" ht="31.5">
      <c r="A13" s="7" t="s">
        <v>7</v>
      </c>
      <c r="B13" s="8">
        <v>-2188.53</v>
      </c>
      <c r="C13" s="8">
        <v>45094.68</v>
      </c>
      <c r="D13" s="8">
        <v>38204.85</v>
      </c>
      <c r="E13" s="8">
        <f t="shared" si="0"/>
        <v>-9078.36</v>
      </c>
    </row>
    <row r="14" spans="1:5" ht="31.5">
      <c r="A14" s="7" t="s">
        <v>8</v>
      </c>
      <c r="B14" s="8">
        <v>-12034.49</v>
      </c>
      <c r="C14" s="8">
        <v>118656.72</v>
      </c>
      <c r="D14" s="8">
        <v>117813.54</v>
      </c>
      <c r="E14" s="8">
        <f t="shared" si="0"/>
        <v>-12877.670000000013</v>
      </c>
    </row>
    <row r="15" spans="1:5" ht="15.75">
      <c r="A15" s="7" t="s">
        <v>9</v>
      </c>
      <c r="B15" s="9">
        <f>SUM(B9:B14)</f>
        <v>-104593.56</v>
      </c>
      <c r="C15" s="9">
        <f>SUM(C9:C14)</f>
        <v>1033389.1</v>
      </c>
      <c r="D15" s="9">
        <f>SUM(D9:D14)</f>
        <v>1027700.9</v>
      </c>
      <c r="E15" s="9">
        <f>SUM(E9:E14)</f>
        <v>-110281.75999999992</v>
      </c>
    </row>
    <row r="16" ht="15.75">
      <c r="A16" s="3"/>
    </row>
    <row r="17" spans="1:7" ht="15.75">
      <c r="A17" s="156" t="s">
        <v>35</v>
      </c>
      <c r="B17" s="156"/>
      <c r="C17" s="156"/>
      <c r="D17" s="156"/>
      <c r="E17" s="156"/>
      <c r="G17" s="1">
        <v>4627.7</v>
      </c>
    </row>
    <row r="18" spans="1:6" ht="31.5">
      <c r="A18" s="6" t="s">
        <v>10</v>
      </c>
      <c r="B18" s="155" t="s">
        <v>11</v>
      </c>
      <c r="C18" s="155"/>
      <c r="D18" s="155"/>
      <c r="E18" s="6" t="s">
        <v>12</v>
      </c>
      <c r="F18" s="14"/>
    </row>
    <row r="19" spans="1:6" ht="15.75">
      <c r="A19" s="10" t="s">
        <v>13</v>
      </c>
      <c r="B19" s="154" t="s">
        <v>63</v>
      </c>
      <c r="C19" s="154"/>
      <c r="D19" s="154"/>
      <c r="E19" s="8">
        <v>86076.72</v>
      </c>
      <c r="F19" s="14">
        <f>1.55*12*G17</f>
        <v>86075.22</v>
      </c>
    </row>
    <row r="20" spans="1:6" ht="15.75">
      <c r="A20" s="10" t="s">
        <v>13</v>
      </c>
      <c r="B20" s="154" t="s">
        <v>64</v>
      </c>
      <c r="C20" s="154"/>
      <c r="D20" s="154"/>
      <c r="E20" s="8">
        <v>14438.16</v>
      </c>
      <c r="F20" s="14">
        <f>0.26*12*G17</f>
        <v>14438.423999999999</v>
      </c>
    </row>
    <row r="21" spans="1:6" ht="15.75">
      <c r="A21" s="10" t="s">
        <v>13</v>
      </c>
      <c r="B21" s="154" t="s">
        <v>65</v>
      </c>
      <c r="C21" s="154"/>
      <c r="D21" s="154"/>
      <c r="E21" s="8">
        <v>45094.68</v>
      </c>
      <c r="F21" s="14"/>
    </row>
    <row r="22" spans="1:6" ht="15.75">
      <c r="A22" s="10" t="s">
        <v>13</v>
      </c>
      <c r="B22" s="154" t="s">
        <v>66</v>
      </c>
      <c r="C22" s="154"/>
      <c r="D22" s="154"/>
      <c r="E22" s="8">
        <v>177703.68</v>
      </c>
      <c r="F22" s="14">
        <f>G3*G17*12</f>
        <v>177703.68</v>
      </c>
    </row>
    <row r="23" spans="1:7" ht="15.75">
      <c r="A23" s="10" t="s">
        <v>13</v>
      </c>
      <c r="B23" s="154" t="s">
        <v>67</v>
      </c>
      <c r="C23" s="154"/>
      <c r="D23" s="154"/>
      <c r="E23" s="8">
        <f>SUM(E24:E36)</f>
        <v>531118.578</v>
      </c>
      <c r="F23" s="14"/>
      <c r="G23" s="1">
        <f>E36/12/G17</f>
        <v>2.4097739337755977</v>
      </c>
    </row>
    <row r="24" spans="1:6" ht="15.75">
      <c r="A24" s="10" t="s">
        <v>13</v>
      </c>
      <c r="B24" s="152" t="s">
        <v>14</v>
      </c>
      <c r="C24" s="152"/>
      <c r="D24" s="152"/>
      <c r="E24" s="8">
        <v>4296</v>
      </c>
      <c r="F24" s="8"/>
    </row>
    <row r="25" spans="1:6" ht="15.75">
      <c r="A25" s="10" t="s">
        <v>13</v>
      </c>
      <c r="B25" s="152" t="s">
        <v>15</v>
      </c>
      <c r="C25" s="152"/>
      <c r="D25" s="152"/>
      <c r="E25" s="8">
        <f>4754+E56</f>
        <v>5112</v>
      </c>
      <c r="F25" s="8"/>
    </row>
    <row r="26" spans="1:6" ht="15.75">
      <c r="A26" s="10" t="s">
        <v>13</v>
      </c>
      <c r="B26" s="152" t="s">
        <v>16</v>
      </c>
      <c r="C26" s="152"/>
      <c r="D26" s="152"/>
      <c r="E26" s="8">
        <f>E51+E62+E75+E76+E77+E78+E79+E80+E81+E87+E88+E91+E92+E93+E94+E95</f>
        <v>12364</v>
      </c>
      <c r="F26" s="8"/>
    </row>
    <row r="27" spans="1:6" ht="15.75">
      <c r="A27" s="10" t="s">
        <v>13</v>
      </c>
      <c r="B27" s="152" t="s">
        <v>17</v>
      </c>
      <c r="C27" s="152"/>
      <c r="D27" s="152"/>
      <c r="E27" s="8">
        <f>E53+E57+E64+E65+E69+E71+E73+E89+E102+E103+E104+E105+E106</f>
        <v>12083</v>
      </c>
      <c r="F27" s="8"/>
    </row>
    <row r="28" spans="1:6" ht="15.75">
      <c r="A28" s="10" t="s">
        <v>13</v>
      </c>
      <c r="B28" s="152" t="s">
        <v>68</v>
      </c>
      <c r="C28" s="152"/>
      <c r="D28" s="152"/>
      <c r="E28" s="8">
        <v>26204</v>
      </c>
      <c r="F28" s="8"/>
    </row>
    <row r="29" spans="1:6" ht="15.75">
      <c r="A29" s="10" t="s">
        <v>13</v>
      </c>
      <c r="B29" s="152" t="s">
        <v>18</v>
      </c>
      <c r="C29" s="152"/>
      <c r="D29" s="152"/>
      <c r="E29" s="8">
        <v>11588</v>
      </c>
      <c r="F29" s="8"/>
    </row>
    <row r="30" spans="1:6" ht="15.75">
      <c r="A30" s="10" t="s">
        <v>13</v>
      </c>
      <c r="B30" s="152" t="s">
        <v>19</v>
      </c>
      <c r="C30" s="152"/>
      <c r="D30" s="152"/>
      <c r="E30" s="8">
        <v>2030</v>
      </c>
      <c r="F30" s="8"/>
    </row>
    <row r="31" spans="1:6" ht="15.75">
      <c r="A31" s="10" t="s">
        <v>13</v>
      </c>
      <c r="B31" s="152" t="s">
        <v>20</v>
      </c>
      <c r="C31" s="152"/>
      <c r="D31" s="152"/>
      <c r="E31" s="8">
        <v>4550</v>
      </c>
      <c r="F31" s="8"/>
    </row>
    <row r="32" spans="1:6" ht="15.75">
      <c r="A32" s="10" t="s">
        <v>13</v>
      </c>
      <c r="B32" s="152" t="s">
        <v>62</v>
      </c>
      <c r="C32" s="152"/>
      <c r="D32" s="152"/>
      <c r="E32" s="8">
        <v>11400</v>
      </c>
      <c r="F32" s="14"/>
    </row>
    <row r="33" spans="1:6" ht="15.75">
      <c r="A33" s="10" t="s">
        <v>13</v>
      </c>
      <c r="B33" s="152" t="s">
        <v>61</v>
      </c>
      <c r="C33" s="152"/>
      <c r="D33" s="152"/>
      <c r="E33" s="8">
        <f>C14</f>
        <v>118656.72</v>
      </c>
      <c r="F33" s="14"/>
    </row>
    <row r="34" spans="1:6" ht="15.75">
      <c r="A34" s="10" t="s">
        <v>13</v>
      </c>
      <c r="B34" s="152" t="s">
        <v>60</v>
      </c>
      <c r="C34" s="152"/>
      <c r="D34" s="152"/>
      <c r="E34" s="8">
        <v>10200</v>
      </c>
      <c r="F34" s="15"/>
    </row>
    <row r="35" spans="1:6" ht="15.75">
      <c r="A35" s="10" t="s">
        <v>13</v>
      </c>
      <c r="B35" s="152" t="s">
        <v>59</v>
      </c>
      <c r="C35" s="152"/>
      <c r="D35" s="152"/>
      <c r="E35" s="8">
        <f>F35</f>
        <v>178814.328</v>
      </c>
      <c r="F35" s="15">
        <f>(2.53+0.69)*12*G17</f>
        <v>178814.328</v>
      </c>
    </row>
    <row r="36" spans="1:7" ht="15.75">
      <c r="A36" s="10" t="s">
        <v>13</v>
      </c>
      <c r="B36" s="152" t="s">
        <v>21</v>
      </c>
      <c r="C36" s="152"/>
      <c r="D36" s="152"/>
      <c r="E36" s="8">
        <v>133820.53</v>
      </c>
      <c r="F36" s="14"/>
      <c r="G36" s="4"/>
    </row>
    <row r="37" spans="1:7" ht="15.75">
      <c r="A37" s="6"/>
      <c r="B37" s="151" t="s">
        <v>22</v>
      </c>
      <c r="C37" s="151"/>
      <c r="D37" s="151"/>
      <c r="E37" s="9">
        <f>SUM(E19:E23)</f>
        <v>854431.818</v>
      </c>
      <c r="F37" s="16">
        <f>13.85+1.55+0.26</f>
        <v>15.66</v>
      </c>
      <c r="G37" s="4">
        <f>F37*12*G17</f>
        <v>869637.3840000001</v>
      </c>
    </row>
    <row r="39" spans="1:5" ht="15.75">
      <c r="A39" s="151" t="s">
        <v>39</v>
      </c>
      <c r="B39" s="151"/>
      <c r="C39" s="151"/>
      <c r="D39" s="151"/>
      <c r="E39" s="9">
        <f>C7+C15-E37</f>
        <v>369410.58199999994</v>
      </c>
    </row>
    <row r="40" spans="1:5" ht="15.75" hidden="1" outlineLevel="1">
      <c r="A40" s="151" t="s">
        <v>23</v>
      </c>
      <c r="B40" s="151"/>
      <c r="C40" s="151"/>
      <c r="D40" s="151"/>
      <c r="E40" s="9">
        <f>E15</f>
        <v>-110281.75999999992</v>
      </c>
    </row>
    <row r="41" spans="1:5" ht="15.75" hidden="1" outlineLevel="1">
      <c r="A41" s="154" t="s">
        <v>24</v>
      </c>
      <c r="B41" s="154"/>
      <c r="C41" s="154"/>
      <c r="D41" s="154"/>
      <c r="E41" s="8">
        <f>E9</f>
        <v>-77781.78999999992</v>
      </c>
    </row>
    <row r="42" ht="15.75" collapsed="1"/>
    <row r="43" ht="15.75">
      <c r="A43" s="1" t="s">
        <v>36</v>
      </c>
    </row>
    <row r="44" ht="15.75">
      <c r="A44" s="11"/>
    </row>
    <row r="45" ht="15.75">
      <c r="A45" s="12"/>
    </row>
    <row r="46" ht="15.75">
      <c r="A46" s="12"/>
    </row>
    <row r="47" spans="1:5" ht="15.75">
      <c r="A47" s="157" t="s">
        <v>69</v>
      </c>
      <c r="B47" s="157"/>
      <c r="C47" s="157"/>
      <c r="D47" s="157"/>
      <c r="E47" s="157"/>
    </row>
    <row r="48" ht="15.75">
      <c r="A48" s="12"/>
    </row>
    <row r="49" spans="1:5" ht="15.75">
      <c r="A49" s="17" t="s">
        <v>25</v>
      </c>
      <c r="B49" s="117" t="s">
        <v>26</v>
      </c>
      <c r="C49" s="117"/>
      <c r="D49" s="117"/>
      <c r="E49" s="17" t="s">
        <v>27</v>
      </c>
    </row>
    <row r="50" spans="1:5" ht="15.75">
      <c r="A50" s="18">
        <v>41656</v>
      </c>
      <c r="B50" s="118" t="s">
        <v>41</v>
      </c>
      <c r="C50" s="118"/>
      <c r="D50" s="118"/>
      <c r="E50" s="19">
        <v>492</v>
      </c>
    </row>
    <row r="51" spans="1:5" ht="15.75">
      <c r="A51" s="18">
        <v>41656</v>
      </c>
      <c r="B51" s="118" t="s">
        <v>16</v>
      </c>
      <c r="C51" s="118"/>
      <c r="D51" s="118"/>
      <c r="E51" s="19">
        <v>177</v>
      </c>
    </row>
    <row r="52" spans="1:5" ht="15.75">
      <c r="A52" s="18">
        <v>41667</v>
      </c>
      <c r="B52" s="118" t="s">
        <v>40</v>
      </c>
      <c r="C52" s="118"/>
      <c r="D52" s="118"/>
      <c r="E52" s="19">
        <v>358</v>
      </c>
    </row>
    <row r="53" spans="1:5" ht="31.5" customHeight="1">
      <c r="A53" s="18">
        <v>41667</v>
      </c>
      <c r="B53" s="118" t="s">
        <v>42</v>
      </c>
      <c r="C53" s="118"/>
      <c r="D53" s="118"/>
      <c r="E53" s="19">
        <v>466</v>
      </c>
    </row>
    <row r="54" spans="1:5" ht="30.75" customHeight="1">
      <c r="A54" s="18">
        <v>41668</v>
      </c>
      <c r="B54" s="118" t="s">
        <v>43</v>
      </c>
      <c r="C54" s="118"/>
      <c r="D54" s="118"/>
      <c r="E54" s="19">
        <v>6835</v>
      </c>
    </row>
    <row r="55" spans="1:5" ht="15.75">
      <c r="A55" s="18">
        <v>41668</v>
      </c>
      <c r="B55" s="118" t="s">
        <v>41</v>
      </c>
      <c r="C55" s="118"/>
      <c r="D55" s="118"/>
      <c r="E55" s="19">
        <v>584</v>
      </c>
    </row>
    <row r="56" spans="1:5" ht="15.75">
      <c r="A56" s="18">
        <v>41698</v>
      </c>
      <c r="B56" s="118" t="s">
        <v>40</v>
      </c>
      <c r="C56" s="118"/>
      <c r="D56" s="118"/>
      <c r="E56" s="19">
        <v>358</v>
      </c>
    </row>
    <row r="57" spans="1:5" ht="32.25" customHeight="1">
      <c r="A57" s="18">
        <v>41673</v>
      </c>
      <c r="B57" s="118" t="s">
        <v>44</v>
      </c>
      <c r="C57" s="118"/>
      <c r="D57" s="118"/>
      <c r="E57" s="19">
        <v>377</v>
      </c>
    </row>
    <row r="58" spans="1:5" ht="15.75" customHeight="1">
      <c r="A58" s="18">
        <v>41698</v>
      </c>
      <c r="B58" s="118" t="s">
        <v>40</v>
      </c>
      <c r="C58" s="118"/>
      <c r="D58" s="118"/>
      <c r="E58" s="19">
        <v>358</v>
      </c>
    </row>
    <row r="59" spans="1:5" ht="15.75">
      <c r="A59" s="18">
        <v>41673</v>
      </c>
      <c r="B59" s="118" t="s">
        <v>41</v>
      </c>
      <c r="C59" s="118"/>
      <c r="D59" s="118"/>
      <c r="E59" s="19">
        <v>1879</v>
      </c>
    </row>
    <row r="60" spans="1:5" ht="15.75">
      <c r="A60" s="18">
        <v>41684</v>
      </c>
      <c r="B60" s="118" t="s">
        <v>41</v>
      </c>
      <c r="C60" s="118"/>
      <c r="D60" s="118"/>
      <c r="E60" s="19">
        <v>613</v>
      </c>
    </row>
    <row r="61" spans="1:5" ht="15.75" customHeight="1">
      <c r="A61" s="18">
        <v>41726</v>
      </c>
      <c r="B61" s="118" t="s">
        <v>40</v>
      </c>
      <c r="C61" s="118"/>
      <c r="D61" s="118"/>
      <c r="E61" s="19">
        <v>358</v>
      </c>
    </row>
    <row r="62" spans="1:5" ht="15.75">
      <c r="A62" s="18">
        <v>41702</v>
      </c>
      <c r="B62" s="118" t="s">
        <v>16</v>
      </c>
      <c r="C62" s="118"/>
      <c r="D62" s="118"/>
      <c r="E62" s="19">
        <v>379</v>
      </c>
    </row>
    <row r="63" spans="1:5" ht="15.75">
      <c r="A63" s="18">
        <v>41715</v>
      </c>
      <c r="B63" s="118" t="s">
        <v>41</v>
      </c>
      <c r="C63" s="118"/>
      <c r="D63" s="118"/>
      <c r="E63" s="19">
        <v>558</v>
      </c>
    </row>
    <row r="64" spans="1:5" ht="15.75">
      <c r="A64" s="18">
        <v>41730</v>
      </c>
      <c r="B64" s="118" t="s">
        <v>45</v>
      </c>
      <c r="C64" s="118"/>
      <c r="D64" s="118"/>
      <c r="E64" s="19">
        <v>882</v>
      </c>
    </row>
    <row r="65" spans="1:5" ht="15.75">
      <c r="A65" s="18">
        <v>41753</v>
      </c>
      <c r="B65" s="158" t="s">
        <v>46</v>
      </c>
      <c r="C65" s="159"/>
      <c r="D65" s="160"/>
      <c r="E65" s="19">
        <v>1368</v>
      </c>
    </row>
    <row r="66" spans="1:5" ht="15.75" customHeight="1">
      <c r="A66" s="18">
        <v>41757</v>
      </c>
      <c r="B66" s="118" t="s">
        <v>40</v>
      </c>
      <c r="C66" s="118"/>
      <c r="D66" s="118"/>
      <c r="E66" s="19">
        <v>358</v>
      </c>
    </row>
    <row r="67" spans="1:5" ht="15.75">
      <c r="A67" s="18">
        <v>41763</v>
      </c>
      <c r="B67" s="118" t="s">
        <v>31</v>
      </c>
      <c r="C67" s="118"/>
      <c r="D67" s="118"/>
      <c r="E67" s="19">
        <v>1300</v>
      </c>
    </row>
    <row r="68" spans="1:5" ht="15.75">
      <c r="A68" s="18">
        <v>41772</v>
      </c>
      <c r="B68" s="118" t="s">
        <v>31</v>
      </c>
      <c r="C68" s="118"/>
      <c r="D68" s="118"/>
      <c r="E68" s="19">
        <v>3453</v>
      </c>
    </row>
    <row r="69" spans="1:5" ht="31.5" customHeight="1">
      <c r="A69" s="18">
        <v>41772</v>
      </c>
      <c r="B69" s="118" t="s">
        <v>47</v>
      </c>
      <c r="C69" s="118"/>
      <c r="D69" s="118"/>
      <c r="E69" s="19">
        <v>654</v>
      </c>
    </row>
    <row r="70" spans="1:5" ht="15.75">
      <c r="A70" s="18">
        <v>41775</v>
      </c>
      <c r="B70" s="118" t="s">
        <v>19</v>
      </c>
      <c r="C70" s="118"/>
      <c r="D70" s="118"/>
      <c r="E70" s="19">
        <v>2030</v>
      </c>
    </row>
    <row r="71" spans="1:5" ht="31.5" customHeight="1">
      <c r="A71" s="18">
        <v>41782</v>
      </c>
      <c r="B71" s="118" t="s">
        <v>48</v>
      </c>
      <c r="C71" s="118"/>
      <c r="D71" s="118"/>
      <c r="E71" s="19">
        <v>1092</v>
      </c>
    </row>
    <row r="72" spans="1:5" ht="15.75" customHeight="1">
      <c r="A72" s="18">
        <v>41787</v>
      </c>
      <c r="B72" s="118" t="s">
        <v>40</v>
      </c>
      <c r="C72" s="118"/>
      <c r="D72" s="118"/>
      <c r="E72" s="19">
        <v>358</v>
      </c>
    </row>
    <row r="73" spans="1:5" ht="31.5" customHeight="1">
      <c r="A73" s="18">
        <v>41782</v>
      </c>
      <c r="B73" s="118" t="s">
        <v>49</v>
      </c>
      <c r="C73" s="118"/>
      <c r="D73" s="118"/>
      <c r="E73" s="19">
        <v>1092</v>
      </c>
    </row>
    <row r="74" spans="1:5" ht="15.75" customHeight="1">
      <c r="A74" s="18">
        <v>41818</v>
      </c>
      <c r="B74" s="118" t="s">
        <v>40</v>
      </c>
      <c r="C74" s="118"/>
      <c r="D74" s="118"/>
      <c r="E74" s="19">
        <v>358</v>
      </c>
    </row>
    <row r="75" spans="1:5" ht="15.75">
      <c r="A75" s="18">
        <v>41793</v>
      </c>
      <c r="B75" s="118" t="s">
        <v>28</v>
      </c>
      <c r="C75" s="118"/>
      <c r="D75" s="118"/>
      <c r="E75" s="19">
        <v>763</v>
      </c>
    </row>
    <row r="76" spans="1:5" ht="15.75">
      <c r="A76" s="18">
        <v>41793</v>
      </c>
      <c r="B76" s="118" t="s">
        <v>29</v>
      </c>
      <c r="C76" s="118"/>
      <c r="D76" s="118"/>
      <c r="E76" s="19">
        <v>763</v>
      </c>
    </row>
    <row r="77" spans="1:5" ht="15.75">
      <c r="A77" s="18">
        <v>41793</v>
      </c>
      <c r="B77" s="118" t="s">
        <v>29</v>
      </c>
      <c r="C77" s="118"/>
      <c r="D77" s="118"/>
      <c r="E77" s="19">
        <v>763</v>
      </c>
    </row>
    <row r="78" spans="1:5" ht="15.75">
      <c r="A78" s="18">
        <v>41793</v>
      </c>
      <c r="B78" s="118" t="s">
        <v>29</v>
      </c>
      <c r="C78" s="118"/>
      <c r="D78" s="118"/>
      <c r="E78" s="19">
        <v>763</v>
      </c>
    </row>
    <row r="79" spans="1:5" ht="15.75">
      <c r="A79" s="18">
        <v>41794</v>
      </c>
      <c r="B79" s="118" t="s">
        <v>29</v>
      </c>
      <c r="C79" s="118"/>
      <c r="D79" s="118"/>
      <c r="E79" s="19">
        <v>763</v>
      </c>
    </row>
    <row r="80" spans="1:5" ht="15.75">
      <c r="A80" s="18">
        <v>41794</v>
      </c>
      <c r="B80" s="118" t="s">
        <v>29</v>
      </c>
      <c r="C80" s="118"/>
      <c r="D80" s="118"/>
      <c r="E80" s="19">
        <v>763</v>
      </c>
    </row>
    <row r="81" spans="1:5" ht="15.75">
      <c r="A81" s="18">
        <v>41794</v>
      </c>
      <c r="B81" s="118" t="s">
        <v>29</v>
      </c>
      <c r="C81" s="118"/>
      <c r="D81" s="118"/>
      <c r="E81" s="19">
        <v>763</v>
      </c>
    </row>
    <row r="82" spans="1:5" ht="15.75">
      <c r="A82" s="18">
        <v>41801</v>
      </c>
      <c r="B82" s="118" t="s">
        <v>54</v>
      </c>
      <c r="C82" s="118"/>
      <c r="D82" s="118"/>
      <c r="E82" s="19">
        <v>801</v>
      </c>
    </row>
    <row r="83" spans="1:5" ht="15.75">
      <c r="A83" s="18">
        <v>41845</v>
      </c>
      <c r="B83" s="118" t="s">
        <v>30</v>
      </c>
      <c r="C83" s="118"/>
      <c r="D83" s="118"/>
      <c r="E83" s="19">
        <v>525</v>
      </c>
    </row>
    <row r="84" spans="1:5" ht="15.75" customHeight="1">
      <c r="A84" s="18">
        <v>41848</v>
      </c>
      <c r="B84" s="118" t="s">
        <v>40</v>
      </c>
      <c r="C84" s="118"/>
      <c r="D84" s="118"/>
      <c r="E84" s="19">
        <v>358</v>
      </c>
    </row>
    <row r="85" spans="1:5" ht="15.75">
      <c r="A85" s="18">
        <v>41852</v>
      </c>
      <c r="B85" s="118" t="s">
        <v>30</v>
      </c>
      <c r="C85" s="118"/>
      <c r="D85" s="118"/>
      <c r="E85" s="19">
        <v>306</v>
      </c>
    </row>
    <row r="86" spans="1:5" ht="15.75">
      <c r="A86" s="18">
        <v>41852</v>
      </c>
      <c r="B86" s="118" t="s">
        <v>30</v>
      </c>
      <c r="C86" s="118"/>
      <c r="D86" s="118"/>
      <c r="E86" s="19">
        <v>699</v>
      </c>
    </row>
    <row r="87" spans="1:5" ht="15.75">
      <c r="A87" s="18">
        <v>41855</v>
      </c>
      <c r="B87" s="118" t="s">
        <v>29</v>
      </c>
      <c r="C87" s="118"/>
      <c r="D87" s="118"/>
      <c r="E87" s="19">
        <v>2389</v>
      </c>
    </row>
    <row r="88" spans="1:5" ht="15.75">
      <c r="A88" s="18">
        <v>41855</v>
      </c>
      <c r="B88" s="118" t="s">
        <v>28</v>
      </c>
      <c r="C88" s="118"/>
      <c r="D88" s="118"/>
      <c r="E88" s="19">
        <v>1993</v>
      </c>
    </row>
    <row r="89" spans="1:5" ht="15.75">
      <c r="A89" s="18">
        <v>41879</v>
      </c>
      <c r="B89" s="118" t="s">
        <v>50</v>
      </c>
      <c r="C89" s="118"/>
      <c r="D89" s="118"/>
      <c r="E89" s="19">
        <v>931</v>
      </c>
    </row>
    <row r="90" spans="1:5" ht="15.75" customHeight="1">
      <c r="A90" s="18">
        <v>41879</v>
      </c>
      <c r="B90" s="118" t="s">
        <v>40</v>
      </c>
      <c r="C90" s="118"/>
      <c r="D90" s="118"/>
      <c r="E90" s="19">
        <v>358</v>
      </c>
    </row>
    <row r="91" spans="1:5" ht="15.75">
      <c r="A91" s="18">
        <v>41892</v>
      </c>
      <c r="B91" s="118" t="s">
        <v>16</v>
      </c>
      <c r="C91" s="118"/>
      <c r="D91" s="118"/>
      <c r="E91" s="19">
        <v>417</v>
      </c>
    </row>
    <row r="92" spans="1:5" ht="15.75">
      <c r="A92" s="18">
        <v>41892</v>
      </c>
      <c r="B92" s="118" t="s">
        <v>16</v>
      </c>
      <c r="C92" s="118"/>
      <c r="D92" s="118"/>
      <c r="E92" s="19">
        <v>417</v>
      </c>
    </row>
    <row r="93" spans="1:5" ht="15.75">
      <c r="A93" s="18">
        <v>41892</v>
      </c>
      <c r="B93" s="118" t="s">
        <v>16</v>
      </c>
      <c r="C93" s="118"/>
      <c r="D93" s="118"/>
      <c r="E93" s="19">
        <v>417</v>
      </c>
    </row>
    <row r="94" spans="1:5" ht="15.75">
      <c r="A94" s="18">
        <v>41892</v>
      </c>
      <c r="B94" s="118" t="s">
        <v>16</v>
      </c>
      <c r="C94" s="118"/>
      <c r="D94" s="118"/>
      <c r="E94" s="19">
        <v>417</v>
      </c>
    </row>
    <row r="95" spans="1:5" ht="15.75">
      <c r="A95" s="18">
        <v>41892</v>
      </c>
      <c r="B95" s="118" t="s">
        <v>16</v>
      </c>
      <c r="C95" s="118"/>
      <c r="D95" s="118"/>
      <c r="E95" s="19">
        <v>417</v>
      </c>
    </row>
    <row r="96" spans="1:5" ht="15.75" customHeight="1">
      <c r="A96" s="18">
        <v>41910</v>
      </c>
      <c r="B96" s="118" t="s">
        <v>40</v>
      </c>
      <c r="C96" s="118"/>
      <c r="D96" s="118"/>
      <c r="E96" s="19">
        <v>358</v>
      </c>
    </row>
    <row r="97" spans="1:5" ht="15.75">
      <c r="A97" s="18">
        <v>41913</v>
      </c>
      <c r="B97" s="118" t="s">
        <v>51</v>
      </c>
      <c r="C97" s="118"/>
      <c r="D97" s="118"/>
      <c r="E97" s="19">
        <v>628</v>
      </c>
    </row>
    <row r="98" spans="1:5" ht="15.75">
      <c r="A98" s="18">
        <v>41922</v>
      </c>
      <c r="B98" s="118" t="s">
        <v>20</v>
      </c>
      <c r="C98" s="118"/>
      <c r="D98" s="118"/>
      <c r="E98" s="19">
        <v>603</v>
      </c>
    </row>
    <row r="99" spans="1:5" ht="15.75">
      <c r="A99" s="18">
        <v>41922</v>
      </c>
      <c r="B99" s="118" t="s">
        <v>20</v>
      </c>
      <c r="C99" s="118"/>
      <c r="D99" s="118"/>
      <c r="E99" s="19">
        <v>529</v>
      </c>
    </row>
    <row r="100" spans="1:5" ht="15.75">
      <c r="A100" s="18">
        <v>41928</v>
      </c>
      <c r="B100" s="118" t="s">
        <v>20</v>
      </c>
      <c r="C100" s="118"/>
      <c r="D100" s="118"/>
      <c r="E100" s="19">
        <v>527</v>
      </c>
    </row>
    <row r="101" spans="1:5" ht="15.75">
      <c r="A101" s="18">
        <v>41935</v>
      </c>
      <c r="B101" s="118" t="s">
        <v>20</v>
      </c>
      <c r="C101" s="118"/>
      <c r="D101" s="118"/>
      <c r="E101" s="19">
        <v>560</v>
      </c>
    </row>
    <row r="102" spans="1:5" ht="15.75">
      <c r="A102" s="18">
        <v>41919</v>
      </c>
      <c r="B102" s="118" t="s">
        <v>52</v>
      </c>
      <c r="C102" s="118"/>
      <c r="D102" s="118"/>
      <c r="E102" s="19">
        <v>466</v>
      </c>
    </row>
    <row r="103" spans="1:5" ht="31.5" customHeight="1">
      <c r="A103" s="18">
        <v>41928</v>
      </c>
      <c r="B103" s="118" t="s">
        <v>53</v>
      </c>
      <c r="C103" s="118"/>
      <c r="D103" s="118"/>
      <c r="E103" s="19">
        <v>931</v>
      </c>
    </row>
    <row r="104" spans="1:5" ht="31.5" customHeight="1">
      <c r="A104" s="18">
        <v>41932</v>
      </c>
      <c r="B104" s="118" t="s">
        <v>53</v>
      </c>
      <c r="C104" s="118"/>
      <c r="D104" s="118"/>
      <c r="E104" s="19">
        <v>377</v>
      </c>
    </row>
    <row r="105" spans="1:5" ht="31.5" customHeight="1">
      <c r="A105" s="18">
        <v>41935</v>
      </c>
      <c r="B105" s="118" t="s">
        <v>53</v>
      </c>
      <c r="C105" s="118"/>
      <c r="D105" s="118"/>
      <c r="E105" s="19">
        <v>1585</v>
      </c>
    </row>
    <row r="106" spans="1:5" ht="31.5" customHeight="1">
      <c r="A106" s="18">
        <v>41935</v>
      </c>
      <c r="B106" s="118" t="s">
        <v>53</v>
      </c>
      <c r="C106" s="118"/>
      <c r="D106" s="118"/>
      <c r="E106" s="19">
        <v>1862</v>
      </c>
    </row>
    <row r="107" spans="1:5" ht="15.75" customHeight="1">
      <c r="A107" s="18">
        <v>41940</v>
      </c>
      <c r="B107" s="118" t="s">
        <v>40</v>
      </c>
      <c r="C107" s="118"/>
      <c r="D107" s="118"/>
      <c r="E107" s="19">
        <v>358</v>
      </c>
    </row>
    <row r="108" spans="1:5" ht="15.75" customHeight="1">
      <c r="A108" s="18">
        <v>41971</v>
      </c>
      <c r="B108" s="118" t="s">
        <v>40</v>
      </c>
      <c r="C108" s="118"/>
      <c r="D108" s="118"/>
      <c r="E108" s="19">
        <v>358</v>
      </c>
    </row>
    <row r="109" spans="1:5" ht="15.75" customHeight="1">
      <c r="A109" s="18">
        <v>42001</v>
      </c>
      <c r="B109" s="118" t="s">
        <v>40</v>
      </c>
      <c r="C109" s="118"/>
      <c r="D109" s="118"/>
      <c r="E109" s="19">
        <v>358</v>
      </c>
    </row>
    <row r="110" ht="15.75">
      <c r="A110" s="12"/>
    </row>
    <row r="111" spans="1:5" ht="15.75">
      <c r="A111" s="12"/>
      <c r="E111" s="13">
        <f>SUM(E50:E109)</f>
        <v>52023</v>
      </c>
    </row>
    <row r="112" ht="15.75">
      <c r="A112" s="12"/>
    </row>
  </sheetData>
  <sheetProtection/>
  <mergeCells count="89">
    <mergeCell ref="B108:D108"/>
    <mergeCell ref="B107:D107"/>
    <mergeCell ref="B65:D65"/>
    <mergeCell ref="B105:D105"/>
    <mergeCell ref="B106:D106"/>
    <mergeCell ref="B94:D94"/>
    <mergeCell ref="B95:D95"/>
    <mergeCell ref="B97:D97"/>
    <mergeCell ref="B98:D98"/>
    <mergeCell ref="B96:D96"/>
    <mergeCell ref="B83:D83"/>
    <mergeCell ref="B86:D86"/>
    <mergeCell ref="B87:D87"/>
    <mergeCell ref="B88:D88"/>
    <mergeCell ref="B89:D89"/>
    <mergeCell ref="B91:D91"/>
    <mergeCell ref="B85:D85"/>
    <mergeCell ref="B109:D109"/>
    <mergeCell ref="B67:D67"/>
    <mergeCell ref="A47:E47"/>
    <mergeCell ref="B61:D61"/>
    <mergeCell ref="B66:D66"/>
    <mergeCell ref="B72:D72"/>
    <mergeCell ref="B84:D84"/>
    <mergeCell ref="B90:D90"/>
    <mergeCell ref="B99:D99"/>
    <mergeCell ref="B100:D100"/>
    <mergeCell ref="B101:D101"/>
    <mergeCell ref="B102:D102"/>
    <mergeCell ref="B103:D103"/>
    <mergeCell ref="B104:D104"/>
    <mergeCell ref="B92:D92"/>
    <mergeCell ref="B93:D93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53:D53"/>
    <mergeCell ref="B54:D54"/>
    <mergeCell ref="B60:D60"/>
    <mergeCell ref="B57:D57"/>
    <mergeCell ref="B64:D64"/>
    <mergeCell ref="B55:D55"/>
    <mergeCell ref="B58:D58"/>
    <mergeCell ref="B59:D59"/>
    <mergeCell ref="B71:D71"/>
    <mergeCell ref="B62:D62"/>
    <mergeCell ref="B63:D63"/>
    <mergeCell ref="B68:D68"/>
    <mergeCell ref="B69:D69"/>
    <mergeCell ref="B70:D70"/>
    <mergeCell ref="A1:E1"/>
    <mergeCell ref="A2:E2"/>
    <mergeCell ref="A17:E17"/>
    <mergeCell ref="B30:D30"/>
    <mergeCell ref="B31:D31"/>
    <mergeCell ref="B56:D56"/>
    <mergeCell ref="B26:D26"/>
    <mergeCell ref="B27:D27"/>
    <mergeCell ref="B22:D22"/>
    <mergeCell ref="B23:D23"/>
    <mergeCell ref="G9:H9"/>
    <mergeCell ref="A40:D40"/>
    <mergeCell ref="A41:D41"/>
    <mergeCell ref="B49:D49"/>
    <mergeCell ref="B28:D28"/>
    <mergeCell ref="B29:D29"/>
    <mergeCell ref="B18:D18"/>
    <mergeCell ref="B19:D19"/>
    <mergeCell ref="B20:D20"/>
    <mergeCell ref="B21:D21"/>
    <mergeCell ref="B24:D24"/>
    <mergeCell ref="B25:D25"/>
    <mergeCell ref="B37:D37"/>
    <mergeCell ref="B32:D32"/>
    <mergeCell ref="B33:D33"/>
    <mergeCell ref="B34:D34"/>
    <mergeCell ref="A39:D39"/>
    <mergeCell ref="B52:D52"/>
    <mergeCell ref="B35:D35"/>
    <mergeCell ref="B36:D36"/>
    <mergeCell ref="B50:D50"/>
    <mergeCell ref="B51:D51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2017-05-31T10:36:29Z</cp:lastPrinted>
  <dcterms:created xsi:type="dcterms:W3CDTF">2015-10-12T08:01:04Z</dcterms:created>
  <dcterms:modified xsi:type="dcterms:W3CDTF">2018-03-20T11:11:17Z</dcterms:modified>
  <cp:category/>
  <cp:version/>
  <cp:contentType/>
  <cp:contentStatus/>
</cp:coreProperties>
</file>