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ВС" sheetId="2" r:id="rId2"/>
    <sheet name="2017 нестд" sheetId="3" r:id="rId3"/>
    <sheet name="бюджет 2017" sheetId="4" r:id="rId4"/>
    <sheet name="бюджет 2016" sheetId="5" r:id="rId5"/>
    <sheet name="2016 стд  " sheetId="6" r:id="rId6"/>
    <sheet name="2016 нестд" sheetId="7" r:id="rId7"/>
    <sheet name="2015 стд" sheetId="8" r:id="rId8"/>
    <sheet name="2015нестд" sheetId="9" r:id="rId9"/>
    <sheet name="2015нестд2" sheetId="10" r:id="rId10"/>
    <sheet name="2014" sheetId="11" r:id="rId11"/>
  </sheets>
  <definedNames>
    <definedName name="_xlnm.Print_Area" localSheetId="10">'2014'!$A$1:$E$150</definedName>
    <definedName name="_xlnm.Print_Area" localSheetId="7">'2015 стд'!$A$1:$F$85</definedName>
    <definedName name="_xlnm.Print_Area" localSheetId="8">'2015нестд'!$A$1:$D$40</definedName>
    <definedName name="_xlnm.Print_Area" localSheetId="9">'2015нестд2'!$A$1:$D$40</definedName>
    <definedName name="_xlnm.Print_Area" localSheetId="6">'2016 нестд'!$A$1:$D$58</definedName>
    <definedName name="_xlnm.Print_Area" localSheetId="5">'2016 стд  '!$A$1:$F$93</definedName>
    <definedName name="_xlnm.Print_Area" localSheetId="4">'бюджет 2016'!$A$1:$D$40</definedName>
    <definedName name="_xlnm.Print_Area" localSheetId="3">'бюджет 2017'!$A$1:$D$39</definedName>
  </definedNames>
  <calcPr fullCalcOnLoad="1" refMode="R1C1"/>
</workbook>
</file>

<file path=xl/sharedStrings.xml><?xml version="1.0" encoding="utf-8"?>
<sst xmlns="http://schemas.openxmlformats.org/spreadsheetml/2006/main" count="1240" uniqueCount="470">
  <si>
    <t>Начислено</t>
  </si>
  <si>
    <t>Содержание жилья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</si>
  <si>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</si>
  <si>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</si>
  <si>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</si>
  <si>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</si>
  <si>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</si>
  <si>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</si>
  <si>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</si>
  <si>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</si>
  <si>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</si>
  <si>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</si>
  <si>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</si>
  <si>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</si>
  <si>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</si>
  <si>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</si>
  <si>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</si>
  <si>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</si>
  <si>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</si>
  <si>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</si>
  <si>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</si>
  <si>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</si>
  <si>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</si>
  <si>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</si>
  <si>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</si>
  <si>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</si>
  <si>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</si>
  <si>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</si>
  <si>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</si>
  <si>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</si>
  <si>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</si>
  <si>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</si>
  <si>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</si>
  <si>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</si>
  <si>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</si>
  <si>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</si>
  <si>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</si>
  <si>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</si>
  <si>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Обслуживание ВГО</t>
  </si>
  <si>
    <t>Вывоз и складирование ТБО</t>
  </si>
  <si>
    <t>двор</t>
  </si>
  <si>
    <t>осмотр системы отопления, слив воды из системы отопления, ремонтные работы</t>
  </si>
  <si>
    <t>осмотр э/сетей, смена ламп в МОП</t>
  </si>
  <si>
    <t>установка доски объявлений</t>
  </si>
  <si>
    <t>осмотр систем водоснабжения, водоотведения по заявке</t>
  </si>
  <si>
    <t>ремонт групповых электрощитков</t>
  </si>
  <si>
    <t>осмотр э/сетей, ремонтные работы</t>
  </si>
  <si>
    <t>осмотр э/сетей, ремонтные работы, замена светильников в МОП</t>
  </si>
  <si>
    <t>окраска масляными составами ранее окрашенных поверхностей труб стальных</t>
  </si>
  <si>
    <t>осмотр систем водоснабжения, водоотведения по заявке, ремонтные работы</t>
  </si>
  <si>
    <t>осмотр э/сетей, смена ламп, светильников в МОП</t>
  </si>
  <si>
    <t>осмотр систем водоснабжения, водоотведения на предмет утечки, ремонтные работы</t>
  </si>
  <si>
    <t>осмотр системводоснабжения, водоотведения на предмет утечки</t>
  </si>
  <si>
    <t>осмотр системы отопления на предмет утечки</t>
  </si>
  <si>
    <t>осмотр систем водоснабжения, водоотведения, пломбировка счетчика</t>
  </si>
  <si>
    <t>15-22.07.2015</t>
  </si>
  <si>
    <t>осмотр системы отопления на предмет утечки, ремонтные работы</t>
  </si>
  <si>
    <t>осмотр э/сетей по заявке</t>
  </si>
  <si>
    <t>смена выключателей в МОП</t>
  </si>
  <si>
    <t>очистка канализации</t>
  </si>
  <si>
    <t>осмотр системы водоснабжения, водоотведения по заявке</t>
  </si>
  <si>
    <t>осмотр системы отопления по заявке, проверка отопительных приборов на прогрев</t>
  </si>
  <si>
    <t>Ул. П.Железняка, д. 12-14</t>
  </si>
  <si>
    <t>смена ламп в МОП</t>
  </si>
  <si>
    <t>смена ламп, светильников в МОП</t>
  </si>
  <si>
    <t>Санитарное содержание МОП</t>
  </si>
  <si>
    <t>осмотр систем водоснабжения, водоотведения, отопления на предмет утечки, ремонтные работы</t>
  </si>
  <si>
    <t>Содержание лифтов</t>
  </si>
  <si>
    <t>Сводная смета доходов и расходов (бюджет)</t>
  </si>
  <si>
    <t>по содержанию МКД по адресу: ул. Партизана Железняка, д. 12-14</t>
  </si>
  <si>
    <t>на 2016 год</t>
  </si>
  <si>
    <t>№ пп</t>
  </si>
  <si>
    <t>Наименование статей</t>
  </si>
  <si>
    <t>Смета на 2016 г.</t>
  </si>
  <si>
    <t>1.</t>
  </si>
  <si>
    <t>Доходы всего (взносы и платежи), в т.ч.</t>
  </si>
  <si>
    <t>Взносы на управление, содержание и ремонт</t>
  </si>
  <si>
    <t>Плата за коммунальные услуги</t>
  </si>
  <si>
    <t>оплачивают сами потребители</t>
  </si>
  <si>
    <t>2.</t>
  </si>
  <si>
    <t>Расходы всего:, в т.ч.</t>
  </si>
  <si>
    <t>3.</t>
  </si>
  <si>
    <t>4.</t>
  </si>
  <si>
    <t>5.</t>
  </si>
  <si>
    <t>Управление (без учета налогов)</t>
  </si>
  <si>
    <t>6.</t>
  </si>
  <si>
    <t>Вознаграждение АУП (УК)</t>
  </si>
  <si>
    <t>7.</t>
  </si>
  <si>
    <t>Вознагражление по договорам ГПХ</t>
  </si>
  <si>
    <t>8.</t>
  </si>
  <si>
    <t>Банковские расходы</t>
  </si>
  <si>
    <t>9.</t>
  </si>
  <si>
    <t>10.</t>
  </si>
  <si>
    <t>5.1.</t>
  </si>
  <si>
    <t>5.2.</t>
  </si>
  <si>
    <t>5.3.</t>
  </si>
  <si>
    <t>5.4.</t>
  </si>
  <si>
    <t>Санитарное содержание мест общего пользования (лестничные клетки)</t>
  </si>
  <si>
    <t>7.1.</t>
  </si>
  <si>
    <t>Санитарное содержание придомовой территории</t>
  </si>
  <si>
    <t>7.2.</t>
  </si>
  <si>
    <t>Вывоз и утилизация ТКО</t>
  </si>
  <si>
    <t>Подготовка к сезонной эксплуатации</t>
  </si>
  <si>
    <t>Обслуживание ВДГО</t>
  </si>
  <si>
    <t>Ремонт внутридомовых электросетей</t>
  </si>
  <si>
    <t>10.1.</t>
  </si>
  <si>
    <t>11.</t>
  </si>
  <si>
    <t>Содержание лифтов:</t>
  </si>
  <si>
    <t>Техническое обслуживание и текущий ремонт конструктивных элементов здания:</t>
  </si>
  <si>
    <t>Техническое обслуживание и текущий ремонт систем:</t>
  </si>
  <si>
    <t>Содержание придомовой территории:</t>
  </si>
  <si>
    <t>11.1.</t>
  </si>
  <si>
    <t>Ремонт окон, дверей в помещениях общего пользования</t>
  </si>
  <si>
    <t>Техническое обслуживание и диспетчеризация (ежемесячно)</t>
  </si>
  <si>
    <t>11.2.</t>
  </si>
  <si>
    <t>Техническое освидетельствование и страхование (ежегодно)</t>
  </si>
  <si>
    <t>12.</t>
  </si>
  <si>
    <t>Аварийное обслуживание</t>
  </si>
  <si>
    <t>13.</t>
  </si>
  <si>
    <t>Техническое обслуживание тепловых приборов учета</t>
  </si>
  <si>
    <t>14.</t>
  </si>
  <si>
    <t>Дератизация, дезинсекция</t>
  </si>
  <si>
    <t>15.</t>
  </si>
  <si>
    <t>Налоги</t>
  </si>
  <si>
    <t>10.2.</t>
  </si>
  <si>
    <t>16.</t>
  </si>
  <si>
    <t>окос</t>
  </si>
  <si>
    <t>дворник</t>
  </si>
  <si>
    <t>уборщица</t>
  </si>
  <si>
    <t>утвержденный тариф, показания приборов учета</t>
  </si>
  <si>
    <t>с апреля дог.ГПХ +</t>
  </si>
  <si>
    <t>Размер взносов и платежей в месяц</t>
  </si>
  <si>
    <t>Окос придомовой территории</t>
  </si>
  <si>
    <t>15000 на руки</t>
  </si>
  <si>
    <t>Восстановление штукатурного слоя на входе в подвал</t>
  </si>
  <si>
    <t>17.</t>
  </si>
  <si>
    <t>Плановая поверка тепловых приборов учета</t>
  </si>
  <si>
    <t>1200 конт.площадка общая с Дадаева 56</t>
  </si>
  <si>
    <t>9.1.</t>
  </si>
  <si>
    <t>9.2.</t>
  </si>
  <si>
    <t>9.3.</t>
  </si>
  <si>
    <t>9.4.</t>
  </si>
  <si>
    <t>Тех.обслуживание внутридомовых сетей ГВС</t>
  </si>
  <si>
    <t>Тех.обслуживвание внутридомовых сетей ХВС</t>
  </si>
  <si>
    <t>ИТОГО содержание и вывоз ТКО</t>
  </si>
  <si>
    <t>Наладные расходы</t>
  </si>
  <si>
    <t>осмотр системы отопления, проверка отопительных приборов на прогрев</t>
  </si>
  <si>
    <t>19-20.10.2015</t>
  </si>
  <si>
    <t>осмотр э/сетей, смена ламп</t>
  </si>
  <si>
    <t>обслуживание итп</t>
  </si>
  <si>
    <t>арс</t>
  </si>
  <si>
    <t>промывка труб канализационной системы</t>
  </si>
  <si>
    <t>диагностика и ремонт домофона</t>
  </si>
  <si>
    <t>осмотр э/сетей, смена светильников, ламп</t>
  </si>
  <si>
    <t>Услуги аварийной службы</t>
  </si>
  <si>
    <t>Обслуживание ИТП</t>
  </si>
  <si>
    <t>Справочно: фин.результат с учетом поступившей оплаты</t>
  </si>
  <si>
    <t>Персонифицированный учет МКД (за 2014 год)</t>
  </si>
  <si>
    <t>Ул. Партизана Железняка, д.12-14</t>
  </si>
  <si>
    <t>Общая площадь квартир – 4470,40  м.кв.</t>
  </si>
  <si>
    <r>
      <t xml:space="preserve">Сальдо на 01.01.2014 г. - </t>
    </r>
    <r>
      <rPr>
        <b/>
        <sz val="14"/>
        <rFont val="Times New Roman"/>
        <family val="1"/>
      </rPr>
      <t>90159,11 (+)</t>
    </r>
  </si>
  <si>
    <t>Задолженность на 01.01.2014 г.</t>
  </si>
  <si>
    <t>Поступило (оплата)</t>
  </si>
  <si>
    <t>Расходы на управление МКД</t>
  </si>
  <si>
    <t>№ п/п</t>
  </si>
  <si>
    <t>Вывоз ТБО</t>
  </si>
  <si>
    <t xml:space="preserve">Санитарное содержание придомовой территории </t>
  </si>
  <si>
    <t>Санитарное содержание мест общего пользования</t>
  </si>
  <si>
    <t>техническое обслуживание лифтов</t>
  </si>
  <si>
    <t>освидетельствование, страховка лифтов</t>
  </si>
  <si>
    <r>
      <t>тех. обслуживание  теплового счетчика(в т.ч. за 2013г.)</t>
    </r>
    <r>
      <rPr>
        <sz val="14"/>
        <color indexed="8"/>
        <rFont val="Times New Roman"/>
        <family val="1"/>
      </rPr>
      <t xml:space="preserve"> </t>
    </r>
  </si>
  <si>
    <t>электротехнические работы</t>
  </si>
  <si>
    <t>сантехнические работы</t>
  </si>
  <si>
    <t>общестроительные работы</t>
  </si>
  <si>
    <t>Осмотры</t>
  </si>
  <si>
    <t xml:space="preserve">Аварийное обслуживание систем ресурсоснабжения </t>
  </si>
  <si>
    <t>Всего работ  за период</t>
  </si>
  <si>
    <t>Сальдо на 01.01.2015г (по начислениям) (+)</t>
  </si>
  <si>
    <t>Экономист ООО «УК Старый город»                                                                    Хромушина Т.В.</t>
  </si>
  <si>
    <t>Выполненные работы</t>
  </si>
  <si>
    <t>Сумма работ</t>
  </si>
  <si>
    <t>смена ламп накаливания</t>
  </si>
  <si>
    <t>осмотр эл/сетей</t>
  </si>
  <si>
    <t>14,02,2014</t>
  </si>
  <si>
    <t>осмотр эл/сетей (14)</t>
  </si>
  <si>
    <t>18,02,2014</t>
  </si>
  <si>
    <t>19,06,2013</t>
  </si>
  <si>
    <t>25,02,2014</t>
  </si>
  <si>
    <t>осмотр эл/сетей(14)</t>
  </si>
  <si>
    <t>03,03,2014</t>
  </si>
  <si>
    <t>04,03,2014</t>
  </si>
  <si>
    <t>осмотр эл/сетей14</t>
  </si>
  <si>
    <t>ремонт групповых щитков 16</t>
  </si>
  <si>
    <t>05,03,2014</t>
  </si>
  <si>
    <t>осмотр эл/сетей12</t>
  </si>
  <si>
    <t>13,03,2014</t>
  </si>
  <si>
    <t>светильник потолочный кв22</t>
  </si>
  <si>
    <t>светильник потолочный кв34</t>
  </si>
  <si>
    <t>18,03,2014</t>
  </si>
  <si>
    <t>28,03,2014</t>
  </si>
  <si>
    <t>16,04,2014</t>
  </si>
  <si>
    <t>ремонт силового предохранительного шкафа12</t>
  </si>
  <si>
    <t>осмотр чердачный и подвальных помещений14</t>
  </si>
  <si>
    <t>очистка канализационной сети 100м14</t>
  </si>
  <si>
    <t>очистка канализационной сети 100м12</t>
  </si>
  <si>
    <t>09,04,2014</t>
  </si>
  <si>
    <t>осмотр помещений на предмет утечки</t>
  </si>
  <si>
    <t>25,04,2014</t>
  </si>
  <si>
    <t>демонтаж мелких покрытий из листовой оцинкованной стали</t>
  </si>
  <si>
    <t>16,12,2013</t>
  </si>
  <si>
    <t>тех обслуживание теплового счетчика 12</t>
  </si>
  <si>
    <t>тех обслуживание теплового счетчика 14</t>
  </si>
  <si>
    <t>25,11,2013</t>
  </si>
  <si>
    <t>25,09,2013</t>
  </si>
  <si>
    <t>26,08,2013</t>
  </si>
  <si>
    <t>25,07,2013</t>
  </si>
  <si>
    <t>25,06,2013</t>
  </si>
  <si>
    <t>27,05,2013</t>
  </si>
  <si>
    <t>25,04,2013</t>
  </si>
  <si>
    <t>25,03,2013</t>
  </si>
  <si>
    <t>25,02,2013</t>
  </si>
  <si>
    <t>25,01,2013</t>
  </si>
  <si>
    <t>24,01,2014</t>
  </si>
  <si>
    <t>27,01,2014</t>
  </si>
  <si>
    <t>тех обслуживание лифтов 12,14</t>
  </si>
  <si>
    <t>20,05,2014</t>
  </si>
  <si>
    <t>очистка канализационной сети</t>
  </si>
  <si>
    <t>21,05,2014</t>
  </si>
  <si>
    <t>осмотр систем водоснабжения, водоотведения, отопления14</t>
  </si>
  <si>
    <t>26,05,2014</t>
  </si>
  <si>
    <t>установка вентилей задвижек затворов кранов проходных на трубопроводах из стальных труб12</t>
  </si>
  <si>
    <t>13,05,2014</t>
  </si>
  <si>
    <t>осмотр эл.сетей</t>
  </si>
  <si>
    <t>02,06,2014</t>
  </si>
  <si>
    <t>осмотр чердачный и подвальных помещений12</t>
  </si>
  <si>
    <t>03,06,2014</t>
  </si>
  <si>
    <t>ремонт групповых щитков 14</t>
  </si>
  <si>
    <t>04,06,2014</t>
  </si>
  <si>
    <t>ремонт групповых щитков 12</t>
  </si>
  <si>
    <t>10,07,2014</t>
  </si>
  <si>
    <t>установа автомата</t>
  </si>
  <si>
    <t>02,07,2014</t>
  </si>
  <si>
    <t>осмотр чердачных помещений14</t>
  </si>
  <si>
    <t>проверка на прогрев отопительных приборов</t>
  </si>
  <si>
    <t>21,07,2014</t>
  </si>
  <si>
    <t>22,07,2014</t>
  </si>
  <si>
    <t>проверка на прогрев отопительных приборов14</t>
  </si>
  <si>
    <t>23,07,2014</t>
  </si>
  <si>
    <t>осмотр чердачных и подвальных помещений14</t>
  </si>
  <si>
    <t>04,08,2014</t>
  </si>
  <si>
    <t>установка датчика движения</t>
  </si>
  <si>
    <t>установка светильника настенного, датчик движения</t>
  </si>
  <si>
    <t>07,08,2014</t>
  </si>
  <si>
    <t>13,08,2014</t>
  </si>
  <si>
    <t>ремонт вентилей и клапанов</t>
  </si>
  <si>
    <t>22,08,2014</t>
  </si>
  <si>
    <t>09,09,2014</t>
  </si>
  <si>
    <t>17,09,2014</t>
  </si>
  <si>
    <t>смена ламп накаливания12</t>
  </si>
  <si>
    <t>17,09,2044</t>
  </si>
  <si>
    <t>смена ламп накаливания14</t>
  </si>
  <si>
    <t>25,09,2014</t>
  </si>
  <si>
    <t>смена ламп накаливания, патронов14</t>
  </si>
  <si>
    <t>15,09,2014</t>
  </si>
  <si>
    <t>смена дверных приборов ручки-скобы12</t>
  </si>
  <si>
    <t>16,09,2014</t>
  </si>
  <si>
    <t>смена дверных приборов замки накладные12</t>
  </si>
  <si>
    <t>16,10,2014</t>
  </si>
  <si>
    <t>01,10,2014</t>
  </si>
  <si>
    <t>осмотр чердачных и подвальных помещений12</t>
  </si>
  <si>
    <t>13,10,2014</t>
  </si>
  <si>
    <t>ремонт задвижек12</t>
  </si>
  <si>
    <t>14,10,2014</t>
  </si>
  <si>
    <t>смена клапанов и  вентилей14</t>
  </si>
  <si>
    <t>27,10,2014</t>
  </si>
  <si>
    <t>17,10,2014</t>
  </si>
  <si>
    <t>покрытие поверхностей</t>
  </si>
  <si>
    <t>30,09,2014</t>
  </si>
  <si>
    <t>слив воды</t>
  </si>
  <si>
    <t>18,11,2014</t>
  </si>
  <si>
    <t>05,11,2014</t>
  </si>
  <si>
    <t>проверка на прогрев отопит приборов</t>
  </si>
  <si>
    <t>15,12,2014</t>
  </si>
  <si>
    <t>установка автомата</t>
  </si>
  <si>
    <t>11,12,2014</t>
  </si>
  <si>
    <t>25,03,2014</t>
  </si>
  <si>
    <t>тех обслуживание теплового счетчика</t>
  </si>
  <si>
    <t>24,03,2014</t>
  </si>
  <si>
    <t>тех обслуж лифта</t>
  </si>
  <si>
    <t>26,02,2014</t>
  </si>
  <si>
    <t>тех обслуживание сетей газоснабжения</t>
  </si>
  <si>
    <t>25,11,2014</t>
  </si>
  <si>
    <t>25,12,2014</t>
  </si>
  <si>
    <t>26,06,2014</t>
  </si>
  <si>
    <t>25,06,2014</t>
  </si>
  <si>
    <t>23,06,2014</t>
  </si>
  <si>
    <t>08,03,2014</t>
  </si>
  <si>
    <t>аварийные работы</t>
  </si>
  <si>
    <t>16,03,2014</t>
  </si>
  <si>
    <t>01,04,2014</t>
  </si>
  <si>
    <t>освидетельствование лифта</t>
  </si>
  <si>
    <t>регулировка доводчика, установка блока питания</t>
  </si>
  <si>
    <t>осмотр систем водоснабжения, водоотведения на предмет утечки</t>
  </si>
  <si>
    <t>осмотр, пломбировка счетчика</t>
  </si>
  <si>
    <t>сантехника</t>
  </si>
  <si>
    <t>электрика</t>
  </si>
  <si>
    <t>общестрой</t>
  </si>
  <si>
    <t>Задолженность населения на 31.12.2015 г.</t>
  </si>
  <si>
    <t>Задолженность на 31.12.2014 г.</t>
  </si>
  <si>
    <t>август</t>
  </si>
  <si>
    <t>Сальдо на 31.12.2015 г.</t>
  </si>
  <si>
    <t>Канцелярские и оргтехрасходы</t>
  </si>
  <si>
    <t>Содержания озеленения</t>
  </si>
  <si>
    <t>Вывоз и утилизация ТБО</t>
  </si>
  <si>
    <t>Техосмотр системы ДГУ</t>
  </si>
  <si>
    <t>Замена запорной арматуры на стояках отопления</t>
  </si>
  <si>
    <t>Ремонт, замена внутридомовых сетей ГВС</t>
  </si>
  <si>
    <t>Ремонт, замена внутридомовых сетей ХВС</t>
  </si>
  <si>
    <t>Ремонт конструкций зданий в т.ч.</t>
  </si>
  <si>
    <t>Утранение протечки на верхнем этаже д. 12</t>
  </si>
  <si>
    <t>Смета на 2015 г.</t>
  </si>
  <si>
    <t>сумма расходов</t>
  </si>
  <si>
    <t>Экономист ООО "УК Старый Город"</t>
  </si>
  <si>
    <t>Расшифровка вида работ</t>
  </si>
  <si>
    <t>Остаток на 01.01.2015</t>
  </si>
  <si>
    <t>Электроэнергия МОП</t>
  </si>
  <si>
    <t>Лифт</t>
  </si>
  <si>
    <t>Январь</t>
  </si>
  <si>
    <t>Февраль</t>
  </si>
  <si>
    <t>*</t>
  </si>
  <si>
    <t>Март</t>
  </si>
  <si>
    <t>Валерий Сергеевич</t>
  </si>
  <si>
    <t>Апр</t>
  </si>
  <si>
    <t>Июнь</t>
  </si>
  <si>
    <t>7.3.</t>
  </si>
  <si>
    <t>Посадка придомовой территории</t>
  </si>
  <si>
    <t>Очистка подвального помещения</t>
  </si>
  <si>
    <t>на 2017 год</t>
  </si>
  <si>
    <t xml:space="preserve">Остаток на 01.01.2016 г. </t>
  </si>
  <si>
    <t>Задолженность на 01.01.2016 г.</t>
  </si>
  <si>
    <t>Выволз ТБО</t>
  </si>
  <si>
    <t>Персонифицированный учет МКД  за  2016 г.</t>
  </si>
  <si>
    <t>ТБО</t>
  </si>
  <si>
    <t>2241 НДФЛ/17241*,202(ПФР 20 + ФСС 0,02)</t>
  </si>
  <si>
    <t>Осмотр электрических сетей</t>
  </si>
  <si>
    <t>Аварийка</t>
  </si>
  <si>
    <t>Осмотр чердачных и подвальных помещений, сис. водоснабжения</t>
  </si>
  <si>
    <t>Раскопка траншеи для замены трубопровода</t>
  </si>
  <si>
    <t>Периодич. Освидетельствование лифтов</t>
  </si>
  <si>
    <t>Осмотр электрических сетей, смена ламп</t>
  </si>
  <si>
    <t>Очистка тер-рии от зарослей, стрижка кустарника</t>
  </si>
  <si>
    <t>Масляная окраска скамеек и труб</t>
  </si>
  <si>
    <t>Прокладка внутренних трубопроводов</t>
  </si>
  <si>
    <t>Покос</t>
  </si>
  <si>
    <t>Ремонт групповых щитков</t>
  </si>
  <si>
    <t>Осмотр электрических сетей, ремонт выключателей</t>
  </si>
  <si>
    <t>Смена вентилей и клапанов</t>
  </si>
  <si>
    <t>Монтаж поручня</t>
  </si>
  <si>
    <t>Прокладка трубопроводов</t>
  </si>
  <si>
    <t>Смена вентилей и клапанов, смена сгонов</t>
  </si>
  <si>
    <t>Очистка канализационной сети внутренней</t>
  </si>
  <si>
    <t>Очистка канализационной сети дворовой</t>
  </si>
  <si>
    <t>Поверка УУТЭ 12й дом</t>
  </si>
  <si>
    <t>Пломбировка счетчика</t>
  </si>
  <si>
    <t>Проверка УУТЭ после ликвидации неисправности</t>
  </si>
  <si>
    <t>Осмотр чердачных и подвальных помещений</t>
  </si>
  <si>
    <t xml:space="preserve">Проверка на прогрев отопительных приборов </t>
  </si>
  <si>
    <t>Очистка цветочной клумбы</t>
  </si>
  <si>
    <t>Тех осмотр линии связи ЦОД</t>
  </si>
  <si>
    <t>5200 лифт</t>
  </si>
  <si>
    <t>1172 покос</t>
  </si>
  <si>
    <t>Обслуживание УУТЭ</t>
  </si>
  <si>
    <t>обслуживание УУТЭ</t>
  </si>
  <si>
    <t>Сумма расходов</t>
  </si>
  <si>
    <t>10.3.</t>
  </si>
  <si>
    <t>Работы по благоустройству территории</t>
  </si>
  <si>
    <t>14.1.</t>
  </si>
  <si>
    <t>Проверка УУТЭ</t>
  </si>
  <si>
    <t>Сальдо на 31.12.2016 г.</t>
  </si>
  <si>
    <t>Задолженность населения на 31.12.2016 г.</t>
  </si>
  <si>
    <t>на 2017год</t>
  </si>
  <si>
    <t>Остаток на 01.01.16 года</t>
  </si>
  <si>
    <t>Начисления "Содержание жилья" за 2016 г.</t>
  </si>
  <si>
    <t>Начисления "Вывоз ТБО" за 2016 г.</t>
  </si>
  <si>
    <t>Начисления "Электроэнергия МОП" за 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</si>
  <si>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</si>
  <si>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</si>
  <si>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</si>
  <si>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</si>
  <si>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</si>
  <si>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</si>
  <si>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</si>
  <si>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</si>
  <si>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</si>
  <si>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</si>
  <si>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Гор.вода (центр.)на соид</t>
  </si>
  <si>
    <t>Центр.ГВС (коэф)</t>
  </si>
  <si>
    <t>Хол. Вода для ЦГВС (коэф)</t>
  </si>
  <si>
    <t>ежемесячно с 01.01.2017 по 31.07.2017</t>
  </si>
  <si>
    <t>снятие показаний общедомового прибора учета э/э</t>
  </si>
  <si>
    <t>Обследование электрических сетей. Смена ламп накаливания</t>
  </si>
  <si>
    <t>Обследование электрических сетей.</t>
  </si>
  <si>
    <t>Обследование электрических сетей. Сверление отверстий в бетонных конструкциях полов</t>
  </si>
  <si>
    <t>Ремонт групповых щитков, силового предохранительного шкафа</t>
  </si>
  <si>
    <t xml:space="preserve">Обследование электрических сетей. </t>
  </si>
  <si>
    <t>Демонтаж/монтаж электросчетчиков</t>
  </si>
  <si>
    <t>Обследование электрических сетей. Смена ламп накаливания. Ремонт патронов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</si>
  <si>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</si>
  <si>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 Смена вентилей и клапанов</t>
  </si>
  <si>
    <t>Обследование чердачных, подвальных и лест. клеток  на предмет утечки трубопроводов. Очистка канализационной сети</t>
  </si>
  <si>
    <t>Обследование чердачных, подвальных и лест. клеток  на предмет утечки трубопроводов. Смена вентилей, клапанов</t>
  </si>
  <si>
    <t>Обследование чердачных, подвальных и лест. клеток  на предмет утечки трубопроводов. Смена вентилей, клапанов, сгонов</t>
  </si>
  <si>
    <t>Обследование чердачных, подвальных и лест. клеток  на предмет утечки трубопроводов. Ремонт задвижек.</t>
  </si>
  <si>
    <t>Смена задвижек</t>
  </si>
  <si>
    <t>Обследование чердачных, подвальных и лест. клеток  на предмет утечки трубопроводов. Проверка на прогрев отопительных приборов</t>
  </si>
  <si>
    <t xml:space="preserve">Наполнение водой системы отопления.  </t>
  </si>
  <si>
    <t>Наполнение водой системы отопления.  Смена вентилей и клапанов</t>
  </si>
  <si>
    <t>Демонтаж/монтаж обделок из листовой стали (парапетов без обделки боковых стенок). Очистка водосточной сети. Очистка кровельных покрытий от снега и наледи. Смена дверных замков</t>
  </si>
  <si>
    <t>Устройство металлических ограждений без поручней. Окраска</t>
  </si>
  <si>
    <t>Смена обделок из листовой стали (брандмауэров и парапетов без обделки боковых стенок)</t>
  </si>
  <si>
    <t>Ремонт крыши</t>
  </si>
  <si>
    <t>Установка мусорной урны</t>
  </si>
  <si>
    <t>Очистка водосточной системы</t>
  </si>
  <si>
    <t>Укрепление парапетов</t>
  </si>
  <si>
    <t>Демонтаж/монтаж поручня</t>
  </si>
  <si>
    <t>Установка доски объявлений</t>
  </si>
  <si>
    <t>Обследование конструктивов здания (кровли)</t>
  </si>
  <si>
    <t>Ремонт кровли</t>
  </si>
  <si>
    <t>Устройство гидроизоляции обмазочной.</t>
  </si>
  <si>
    <t>Очистка подвала</t>
  </si>
  <si>
    <t>Стрижка кустов</t>
  </si>
  <si>
    <t>Промывка труб</t>
  </si>
  <si>
    <t>Страхование лифта</t>
  </si>
  <si>
    <t>Периодическое техническое освидетельствование лифтов</t>
  </si>
  <si>
    <t>Техническое обслуживание лифта</t>
  </si>
  <si>
    <t>Техническое обслуживание теплового счетчика</t>
  </si>
  <si>
    <t>Аварийные работы. Засор канализации</t>
  </si>
  <si>
    <t>Аварийные работы. Течь стояка</t>
  </si>
  <si>
    <t>Востановление(переоформление) док-тов о технологическом присоединении</t>
  </si>
  <si>
    <t>Замена блока питания вычислителя, корректировка  расходомеров УУТЭ</t>
  </si>
  <si>
    <t>Ключи</t>
  </si>
  <si>
    <t>Поверка УУТЭ</t>
  </si>
  <si>
    <t>Остаток на 01.01.17 года</t>
  </si>
  <si>
    <t>Смета на 2017 г.</t>
  </si>
  <si>
    <t>Покос, стрижка кустов</t>
  </si>
  <si>
    <t>Поверка УУТЭ. Замена блока питания вычислителя, корректировка  расходомеров УУТЭ</t>
  </si>
  <si>
    <t>Посадка придомовой территории. (Установка мусорной урны)</t>
  </si>
  <si>
    <t>10.2</t>
  </si>
  <si>
    <t>Текущий ремонт конструктивных элементов здания</t>
  </si>
  <si>
    <t>18.</t>
  </si>
  <si>
    <t>19.</t>
  </si>
  <si>
    <t>Промывка системы отопления</t>
  </si>
  <si>
    <t>Холодная вода на соид</t>
  </si>
  <si>
    <t>20.</t>
  </si>
  <si>
    <t>21.</t>
  </si>
  <si>
    <t>22.</t>
  </si>
  <si>
    <t>23.</t>
  </si>
  <si>
    <t>Горячая вода на соид</t>
  </si>
  <si>
    <t>Хол.вода для ЦГВС (коэф)</t>
  </si>
  <si>
    <t>24.</t>
  </si>
  <si>
    <t>25.</t>
  </si>
  <si>
    <t>Начисления "Содержание жилья" за 2017 г.</t>
  </si>
  <si>
    <t xml:space="preserve">Начисления "Горячая вода на соид" </t>
  </si>
  <si>
    <t xml:space="preserve">Начисления "Водоотведение на соид" </t>
  </si>
  <si>
    <t xml:space="preserve">Начисления "Холодная вода на соид" </t>
  </si>
  <si>
    <t xml:space="preserve">Начисления "Электроэнергия на соид" </t>
  </si>
  <si>
    <t xml:space="preserve">Начисления "Электроэнергия МОП" </t>
  </si>
  <si>
    <t xml:space="preserve">Начисления "Вывоз ТБО" </t>
  </si>
  <si>
    <t xml:space="preserve">Посадка придомовой территории. </t>
  </si>
  <si>
    <t>Промывка и опрессовка внутридомовой системы теплопотребления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</si>
</sst>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0&quot;р.&quot;"/>
    <numFmt numFmtId="178" formatCode="[$-FC19]d\ mmmm\ yyyy\ &quot;г.&quot;"/>
    <numFmt numFmtId="179" formatCode="#,##0.00_ ;\-#,##0.00\ "/>
    <numFmt numFmtId="180" formatCode="000000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6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2" fontId="1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4" fontId="3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" fillId="34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9" fillId="39" borderId="10" xfId="0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40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/>
    </xf>
    <xf numFmtId="0" fontId="49" fillId="42" borderId="10" xfId="0" applyFont="1" applyFill="1" applyBorder="1" applyAlignment="1">
      <alignment horizontal="center" vertical="center"/>
    </xf>
    <xf numFmtId="0" fontId="49" fillId="43" borderId="10" xfId="0" applyFont="1" applyFill="1" applyBorder="1" applyAlignment="1">
      <alignment horizontal="center" vertical="center"/>
    </xf>
    <xf numFmtId="0" fontId="49" fillId="44" borderId="10" xfId="0" applyFont="1" applyFill="1" applyBorder="1" applyAlignment="1">
      <alignment horizontal="center" vertical="center"/>
    </xf>
    <xf numFmtId="0" fontId="49" fillId="45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left" vertical="center" wrapText="1"/>
    </xf>
    <xf numFmtId="0" fontId="2" fillId="46" borderId="14" xfId="0" applyFont="1" applyFill="1" applyBorder="1" applyAlignment="1">
      <alignment horizontal="left" vertical="center" wrapText="1"/>
    </xf>
    <xf numFmtId="0" fontId="2" fillId="46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47" borderId="13" xfId="0" applyFont="1" applyFill="1" applyBorder="1" applyAlignment="1">
      <alignment horizontal="left" vertical="center" wrapText="1"/>
    </xf>
    <xf numFmtId="0" fontId="2" fillId="47" borderId="14" xfId="0" applyFont="1" applyFill="1" applyBorder="1" applyAlignment="1">
      <alignment horizontal="left" vertical="center" wrapText="1"/>
    </xf>
    <xf numFmtId="0" fontId="2" fillId="47" borderId="11" xfId="0" applyFont="1" applyFill="1" applyBorder="1" applyAlignment="1">
      <alignment horizontal="left" vertical="center" wrapText="1"/>
    </xf>
    <xf numFmtId="0" fontId="2" fillId="48" borderId="13" xfId="0" applyFont="1" applyFill="1" applyBorder="1" applyAlignment="1">
      <alignment horizontal="left" vertical="center" wrapText="1"/>
    </xf>
    <xf numFmtId="0" fontId="2" fillId="48" borderId="14" xfId="0" applyFont="1" applyFill="1" applyBorder="1" applyAlignment="1">
      <alignment horizontal="left" vertical="center" wrapText="1"/>
    </xf>
    <xf numFmtId="0" fontId="2" fillId="48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F44" sqref="F44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6.7109375" style="2" customWidth="1"/>
    <col min="6" max="6" width="18.140625" style="2" customWidth="1"/>
    <col min="7" max="7" width="12.8515625" style="2" customWidth="1"/>
    <col min="8" max="8" width="13.7109375" style="2" bestFit="1" customWidth="1"/>
    <col min="9" max="9" width="15.57421875" style="2" customWidth="1"/>
    <col min="10" max="10" width="11.00390625" style="2" customWidth="1"/>
    <col min="11" max="16384" width="9.140625" style="2" customWidth="1"/>
  </cols>
  <sheetData>
    <row r="1" spans="1:8" ht="15.75">
      <c r="A1" s="236" t="s">
        <v>385</v>
      </c>
      <c r="B1" s="236"/>
      <c r="C1" s="236"/>
      <c r="D1" s="236"/>
      <c r="E1" s="236"/>
      <c r="F1" s="236"/>
      <c r="G1" s="150"/>
      <c r="H1" s="2" t="s">
        <v>331</v>
      </c>
    </row>
    <row r="2" spans="1:8" ht="15.75">
      <c r="A2" s="236" t="s">
        <v>62</v>
      </c>
      <c r="B2" s="236"/>
      <c r="C2" s="236"/>
      <c r="D2" s="236"/>
      <c r="E2" s="236"/>
      <c r="F2" s="236"/>
      <c r="G2" s="3"/>
      <c r="H2" s="4">
        <v>89114758510</v>
      </c>
    </row>
    <row r="3" spans="11:13" ht="7.5" customHeight="1">
      <c r="K3" s="2" t="s">
        <v>130</v>
      </c>
      <c r="M3" s="2">
        <v>5746</v>
      </c>
    </row>
    <row r="4" spans="1:13" ht="15.75" hidden="1">
      <c r="A4" s="6" t="s">
        <v>10</v>
      </c>
      <c r="C4" s="6"/>
      <c r="D4" s="6">
        <v>4475.4</v>
      </c>
      <c r="E4" s="6" t="s">
        <v>11</v>
      </c>
      <c r="F4" s="6"/>
      <c r="M4" s="2">
        <f>M3*9</f>
        <v>51714</v>
      </c>
    </row>
    <row r="6" spans="1:9" ht="16.5" customHeight="1">
      <c r="A6" s="3" t="s">
        <v>386</v>
      </c>
      <c r="C6" s="3"/>
      <c r="D6" s="7">
        <f>'2016 стд  '!F34</f>
        <v>-14588.173999999883</v>
      </c>
      <c r="E6" s="3" t="s">
        <v>16</v>
      </c>
      <c r="F6" s="3"/>
      <c r="I6" s="19"/>
    </row>
    <row r="7" spans="1:6" ht="15.75">
      <c r="A7" s="3" t="s">
        <v>387</v>
      </c>
      <c r="C7" s="6"/>
      <c r="D7" s="8">
        <f>C20</f>
        <v>-141019.09999999992</v>
      </c>
      <c r="E7" s="6" t="s">
        <v>15</v>
      </c>
      <c r="F7" s="6"/>
    </row>
    <row r="8" spans="2:6" ht="15.75">
      <c r="B8" s="6"/>
      <c r="C8" s="6"/>
      <c r="D8" s="6"/>
      <c r="E8" s="6"/>
      <c r="F8" s="9" t="s">
        <v>16</v>
      </c>
    </row>
    <row r="9" spans="1:8" ht="47.25">
      <c r="A9" s="1" t="s">
        <v>17</v>
      </c>
      <c r="B9" s="10" t="s">
        <v>18</v>
      </c>
      <c r="C9" s="11" t="s">
        <v>388</v>
      </c>
      <c r="D9" s="11" t="s">
        <v>0</v>
      </c>
      <c r="E9" s="11" t="s">
        <v>20</v>
      </c>
      <c r="F9" s="11" t="s">
        <v>389</v>
      </c>
      <c r="G9" s="18"/>
      <c r="H9" s="18"/>
    </row>
    <row r="10" spans="1:9" s="5" customFormat="1" ht="32.25" customHeight="1">
      <c r="A10" s="1">
        <v>1</v>
      </c>
      <c r="B10" s="97" t="s">
        <v>1</v>
      </c>
      <c r="C10" s="20">
        <v>-114257.30999999994</v>
      </c>
      <c r="D10" s="20">
        <f>389992.04-76.65+357041.97+8.34-1851.2</f>
        <v>745114.4999999999</v>
      </c>
      <c r="E10" s="20">
        <f>391271.61+357563.8</f>
        <v>748835.4099999999</v>
      </c>
      <c r="F10" s="20">
        <f>C10-D10+E10</f>
        <v>-110536.3999999999</v>
      </c>
      <c r="G10" s="2" t="s">
        <v>36</v>
      </c>
      <c r="H10" s="77">
        <v>13.91</v>
      </c>
      <c r="I10" s="19">
        <f>H10*12*H26</f>
        <v>747033.768</v>
      </c>
    </row>
    <row r="11" spans="1:9" s="5" customFormat="1" ht="32.25" customHeight="1">
      <c r="A11" s="1">
        <v>2</v>
      </c>
      <c r="B11" s="97" t="s">
        <v>165</v>
      </c>
      <c r="C11" s="20">
        <v>-14355.569999999992</v>
      </c>
      <c r="D11" s="20">
        <f>58597.16-92.17+53646.33+1.26-326.21</f>
        <v>111826.37</v>
      </c>
      <c r="E11" s="20">
        <f>58800.94+53688.21</f>
        <v>112489.15</v>
      </c>
      <c r="F11" s="20">
        <f>C11-D11+E11</f>
        <v>-13692.789999999994</v>
      </c>
      <c r="G11" s="2" t="s">
        <v>342</v>
      </c>
      <c r="H11" s="77">
        <v>2.09</v>
      </c>
      <c r="I11" s="19">
        <f>H11*12*H26</f>
        <v>112243.03199999998</v>
      </c>
    </row>
    <row r="12" spans="1:9" s="5" customFormat="1" ht="32.25" customHeight="1">
      <c r="A12" s="1">
        <v>3</v>
      </c>
      <c r="B12" s="97" t="s">
        <v>325</v>
      </c>
      <c r="C12" s="20">
        <v>-12406.220000000001</v>
      </c>
      <c r="D12" s="20">
        <f>4145.46+76.65+3000.01+154.94</f>
        <v>7377.0599999999995</v>
      </c>
      <c r="E12" s="20">
        <f>7314.91+8854.82</f>
        <v>16169.73</v>
      </c>
      <c r="F12" s="20">
        <f>C12-D12+E12</f>
        <v>-3613.5499999999993</v>
      </c>
      <c r="G12" s="2"/>
      <c r="H12" s="77">
        <v>15.5</v>
      </c>
      <c r="I12" s="19">
        <f>H12*12*H26</f>
        <v>832424.3999999999</v>
      </c>
    </row>
    <row r="13" spans="1:9" s="5" customFormat="1" ht="32.25" customHeight="1">
      <c r="A13" s="1">
        <v>6</v>
      </c>
      <c r="B13" s="97" t="s">
        <v>392</v>
      </c>
      <c r="C13" s="159">
        <v>0</v>
      </c>
      <c r="D13" s="158">
        <f>1623.23-978.35+3258.17-40.45+1622.97-978.05+1266.09-15</f>
        <v>5758.610000000001</v>
      </c>
      <c r="E13" s="158">
        <f>3734.71+1868.78</f>
        <v>5603.49</v>
      </c>
      <c r="F13" s="20">
        <f aca="true" t="shared" si="0" ref="F13:F19">C13-D13+E13</f>
        <v>-155.1200000000008</v>
      </c>
      <c r="G13" s="2"/>
      <c r="H13" s="77"/>
      <c r="I13" s="19"/>
    </row>
    <row r="14" spans="1:9" s="5" customFormat="1" ht="32.25" customHeight="1">
      <c r="A14" s="1">
        <v>7</v>
      </c>
      <c r="B14" s="97" t="s">
        <v>393</v>
      </c>
      <c r="C14" s="159">
        <v>0</v>
      </c>
      <c r="D14" s="158">
        <f>1579.65-1579.65+986.03+11.19+1578.9-1578.9+2442.96-15</f>
        <v>3425.18</v>
      </c>
      <c r="E14" s="158">
        <f>1538.83+2354.79</f>
        <v>3893.62</v>
      </c>
      <c r="F14" s="20">
        <f t="shared" si="0"/>
        <v>468.44000000000005</v>
      </c>
      <c r="G14" s="2"/>
      <c r="H14" s="77"/>
      <c r="I14" s="19"/>
    </row>
    <row r="15" spans="1:9" s="5" customFormat="1" ht="32.25" customHeight="1">
      <c r="A15" s="1">
        <v>8</v>
      </c>
      <c r="B15" s="97" t="s">
        <v>394</v>
      </c>
      <c r="C15" s="159">
        <v>0</v>
      </c>
      <c r="D15" s="158">
        <f>64825.67-45790.67+10253.45+507.29+67249.03-44553.98+12347.5-220</f>
        <v>64618.29</v>
      </c>
      <c r="E15" s="158">
        <f>54091.13+50515.14</f>
        <v>104606.26999999999</v>
      </c>
      <c r="F15" s="20">
        <f t="shared" si="0"/>
        <v>39987.97999999999</v>
      </c>
      <c r="G15" s="2"/>
      <c r="H15" s="77"/>
      <c r="I15" s="19"/>
    </row>
    <row r="16" spans="1:9" s="5" customFormat="1" ht="32.25" customHeight="1">
      <c r="A16" s="1"/>
      <c r="B16" s="97" t="s">
        <v>395</v>
      </c>
      <c r="C16" s="158">
        <v>0</v>
      </c>
      <c r="D16" s="158">
        <f>29661.35-6696.59+27003.29-498.76+29500.17-6693.16+12911.11-50</f>
        <v>85137.40999999999</v>
      </c>
      <c r="E16" s="158">
        <f>40755.52+28796.17</f>
        <v>69551.69</v>
      </c>
      <c r="F16" s="20">
        <f t="shared" si="0"/>
        <v>-15585.719999999987</v>
      </c>
      <c r="G16" s="2"/>
      <c r="H16" s="77"/>
      <c r="I16" s="19"/>
    </row>
    <row r="17" spans="1:9" s="5" customFormat="1" ht="32.25" customHeight="1">
      <c r="A17" s="1"/>
      <c r="B17" s="97" t="s">
        <v>396</v>
      </c>
      <c r="C17" s="158">
        <v>0</v>
      </c>
      <c r="D17" s="158">
        <f>8445.34-88.72+532.34+30514.84-6683.98+166.36+2794.77</f>
        <v>35680.95</v>
      </c>
      <c r="E17" s="158">
        <f>8977.68+24811.96</f>
        <v>33789.64</v>
      </c>
      <c r="F17" s="20">
        <f t="shared" si="0"/>
        <v>-1891.3099999999977</v>
      </c>
      <c r="G17" s="2"/>
      <c r="H17" s="77"/>
      <c r="I17" s="19"/>
    </row>
    <row r="18" spans="1:9" s="5" customFormat="1" ht="32.25" customHeight="1">
      <c r="A18" s="1"/>
      <c r="B18" s="97" t="s">
        <v>397</v>
      </c>
      <c r="C18" s="158">
        <v>0</v>
      </c>
      <c r="D18" s="158">
        <f>1105.61-15.49+75.03+4969.83-1163.98+29.06+326.22</f>
        <v>5326.280000000001</v>
      </c>
      <c r="E18" s="158">
        <f>1180.64+3856.56</f>
        <v>5037.2</v>
      </c>
      <c r="F18" s="20">
        <f t="shared" si="0"/>
        <v>-289.08000000000084</v>
      </c>
      <c r="G18" s="2"/>
      <c r="H18" s="77"/>
      <c r="I18" s="19"/>
    </row>
    <row r="19" spans="1:9" s="5" customFormat="1" ht="32.25" customHeight="1">
      <c r="A19" s="1"/>
      <c r="B19" s="97" t="s">
        <v>155</v>
      </c>
      <c r="C19" s="158">
        <v>0</v>
      </c>
      <c r="D19" s="158">
        <v>0</v>
      </c>
      <c r="E19" s="158">
        <f>5775.14+5293.26</f>
        <v>11068.400000000001</v>
      </c>
      <c r="F19" s="20">
        <f t="shared" si="0"/>
        <v>11068.400000000001</v>
      </c>
      <c r="G19" s="2"/>
      <c r="H19" s="178"/>
      <c r="I19" s="19"/>
    </row>
    <row r="20" spans="1:13" s="117" customFormat="1" ht="30" customHeight="1">
      <c r="A20" s="115"/>
      <c r="B20" s="13" t="s">
        <v>2</v>
      </c>
      <c r="C20" s="116">
        <f>SUM(C10:C19)</f>
        <v>-141019.09999999992</v>
      </c>
      <c r="D20" s="116">
        <f>SUM(D10:D19)</f>
        <v>1064264.6500000001</v>
      </c>
      <c r="E20" s="116">
        <f>SUM(E10:E19)</f>
        <v>1111044.5999999996</v>
      </c>
      <c r="F20" s="116">
        <f>SUM(F10:F19)</f>
        <v>-94239.1499999999</v>
      </c>
      <c r="G20" s="3" t="s">
        <v>37</v>
      </c>
      <c r="H20" s="15">
        <f>1.94+4.78</f>
        <v>6.720000000000001</v>
      </c>
      <c r="I20" s="19">
        <f>H20*12*H26</f>
        <v>360896.25600000005</v>
      </c>
      <c r="L20" s="12"/>
      <c r="M20" s="12"/>
    </row>
    <row r="21" spans="7:9" ht="19.5" customHeight="1">
      <c r="G21" s="6"/>
      <c r="I21" s="18"/>
    </row>
    <row r="22" spans="7:9" ht="19.5" customHeight="1">
      <c r="G22" s="6"/>
      <c r="I22" s="18">
        <f>3*H26*12</f>
        <v>161114.4</v>
      </c>
    </row>
    <row r="23" spans="1:6" ht="11.25" customHeight="1">
      <c r="A23" s="236" t="s">
        <v>21</v>
      </c>
      <c r="B23" s="236"/>
      <c r="C23" s="236"/>
      <c r="D23" s="236"/>
      <c r="E23" s="236"/>
      <c r="F23" s="236"/>
    </row>
    <row r="24" spans="1:6" ht="15.75">
      <c r="A24" s="150"/>
      <c r="B24" s="150"/>
      <c r="C24" s="150"/>
      <c r="D24" s="150"/>
      <c r="E24" s="150"/>
      <c r="F24" s="150"/>
    </row>
    <row r="25" spans="1:8" ht="31.5">
      <c r="A25" s="11" t="s">
        <v>35</v>
      </c>
      <c r="B25" s="237" t="s">
        <v>3</v>
      </c>
      <c r="C25" s="238"/>
      <c r="D25" s="238"/>
      <c r="E25" s="239"/>
      <c r="F25" s="13" t="s">
        <v>9</v>
      </c>
      <c r="H25" s="2" t="s">
        <v>22</v>
      </c>
    </row>
    <row r="26" spans="1:8" ht="15.75" customHeight="1">
      <c r="A26" s="11">
        <v>1</v>
      </c>
      <c r="B26" s="232" t="s">
        <v>4</v>
      </c>
      <c r="C26" s="233"/>
      <c r="D26" s="233"/>
      <c r="E26" s="234"/>
      <c r="F26" s="120">
        <v>300524.5</v>
      </c>
      <c r="G26" s="14"/>
      <c r="H26" s="2">
        <f>D4</f>
        <v>4475.4</v>
      </c>
    </row>
    <row r="27" spans="1:10" ht="18" customHeight="1">
      <c r="A27" s="11">
        <v>2</v>
      </c>
      <c r="B27" s="232" t="s">
        <v>38</v>
      </c>
      <c r="C27" s="233"/>
      <c r="D27" s="233"/>
      <c r="E27" s="234"/>
      <c r="F27" s="120">
        <f>0.22*H26*6+0.24*H26*3+0.71*H26*3</f>
        <v>18662.417999999998</v>
      </c>
      <c r="G27" s="6"/>
      <c r="I27" s="2" t="s">
        <v>24</v>
      </c>
      <c r="J27" s="2" t="s">
        <v>25</v>
      </c>
    </row>
    <row r="28" spans="1:10" ht="18" customHeight="1">
      <c r="A28" s="11">
        <v>3</v>
      </c>
      <c r="B28" s="232" t="s">
        <v>26</v>
      </c>
      <c r="C28" s="233"/>
      <c r="D28" s="233"/>
      <c r="E28" s="234"/>
      <c r="F28" s="120">
        <f>61476+1614</f>
        <v>63090</v>
      </c>
      <c r="G28" s="6"/>
      <c r="I28" s="12">
        <v>5123</v>
      </c>
      <c r="J28" s="12">
        <v>4728</v>
      </c>
    </row>
    <row r="29" spans="1:10" ht="18" customHeight="1">
      <c r="A29" s="11">
        <v>4</v>
      </c>
      <c r="B29" s="232" t="s">
        <v>65</v>
      </c>
      <c r="C29" s="233"/>
      <c r="D29" s="233"/>
      <c r="E29" s="234"/>
      <c r="F29" s="120">
        <v>56945.04</v>
      </c>
      <c r="G29" s="82"/>
      <c r="I29" s="2">
        <f>I28*12</f>
        <v>61476</v>
      </c>
      <c r="J29" s="2">
        <f>J28*12</f>
        <v>56736</v>
      </c>
    </row>
    <row r="30" spans="1:7" ht="18" customHeight="1">
      <c r="A30" s="11">
        <v>5</v>
      </c>
      <c r="B30" s="232" t="s">
        <v>5</v>
      </c>
      <c r="C30" s="233"/>
      <c r="D30" s="233"/>
      <c r="E30" s="234"/>
      <c r="F30" s="45">
        <f>F31+F32+F33</f>
        <v>117639</v>
      </c>
      <c r="G30" s="6"/>
    </row>
    <row r="31" spans="1:10" ht="18" customHeight="1">
      <c r="A31" s="11" t="s">
        <v>6</v>
      </c>
      <c r="B31" s="232" t="s">
        <v>27</v>
      </c>
      <c r="C31" s="233"/>
      <c r="D31" s="233"/>
      <c r="E31" s="234"/>
      <c r="F31" s="45">
        <f>F72+F73+F74+F75+F76+F77+F78+F79+F80+F81+F82+F83+F84+F85+F86+F87+F88+F89+F90+F91+F92+F93+F94+F95+F96+F97+F98+F99+F100</f>
        <v>57782</v>
      </c>
      <c r="G31" s="83">
        <f>F111</f>
        <v>3041</v>
      </c>
      <c r="H31" s="2" t="s">
        <v>372</v>
      </c>
      <c r="J31" s="2">
        <f>800*2</f>
        <v>1600</v>
      </c>
    </row>
    <row r="32" spans="1:7" ht="16.5" customHeight="1">
      <c r="A32" s="11" t="s">
        <v>6</v>
      </c>
      <c r="B32" s="232" t="s">
        <v>28</v>
      </c>
      <c r="C32" s="233"/>
      <c r="D32" s="233"/>
      <c r="E32" s="234"/>
      <c r="F32" s="45">
        <f>F58+F59+F60+F61+F62+F63+F64+F65+F66+F67+F68+F69+F70+F71</f>
        <v>23556</v>
      </c>
      <c r="G32" s="6" t="s">
        <v>369</v>
      </c>
    </row>
    <row r="33" spans="1:12" ht="16.5" customHeight="1">
      <c r="A33" s="11" t="s">
        <v>6</v>
      </c>
      <c r="B33" s="232" t="s">
        <v>29</v>
      </c>
      <c r="C33" s="233"/>
      <c r="D33" s="233"/>
      <c r="E33" s="234"/>
      <c r="F33" s="45">
        <f>F101+F102+F103+F104+F105+F106+F107+F108+F109+F110+F111+F112+F166</f>
        <v>36301</v>
      </c>
      <c r="G33" s="6" t="s">
        <v>370</v>
      </c>
      <c r="L33" s="2" t="s">
        <v>326</v>
      </c>
    </row>
    <row r="34" spans="1:13" ht="16.5" customHeight="1">
      <c r="A34" s="11">
        <v>6</v>
      </c>
      <c r="B34" s="229" t="s">
        <v>371</v>
      </c>
      <c r="C34" s="230"/>
      <c r="D34" s="230"/>
      <c r="E34" s="231"/>
      <c r="F34" s="120">
        <f>F134+F135+F136+F137+F138+F139+F140+F141+F142+F143+F144+F145+F146+F147+F148+F149+F150+F151+F152+F153+F154+F155+F156+F157</f>
        <v>19200</v>
      </c>
      <c r="G34" s="6"/>
      <c r="L34" s="2">
        <v>5067.6</v>
      </c>
      <c r="M34" s="2" t="s">
        <v>327</v>
      </c>
    </row>
    <row r="35" spans="1:13" ht="17.25" customHeight="1">
      <c r="A35" s="11">
        <v>7</v>
      </c>
      <c r="B35" s="229" t="s">
        <v>154</v>
      </c>
      <c r="C35" s="230"/>
      <c r="D35" s="230"/>
      <c r="E35" s="231"/>
      <c r="F35" s="120">
        <f>F158+F159+F160</f>
        <v>2070</v>
      </c>
      <c r="G35" s="6"/>
      <c r="L35" s="2">
        <v>5097.6</v>
      </c>
      <c r="M35" s="2" t="s">
        <v>328</v>
      </c>
    </row>
    <row r="36" spans="1:13" ht="17.25" customHeight="1">
      <c r="A36" s="11">
        <v>8</v>
      </c>
      <c r="B36" s="229" t="s">
        <v>67</v>
      </c>
      <c r="C36" s="230"/>
      <c r="D36" s="230"/>
      <c r="E36" s="231"/>
      <c r="F36" s="120">
        <f>F120+F121+F122+F123+F124+F125+F126+F127+F128+F129+F130+F131+F132+F133</f>
        <v>67555.51999999999</v>
      </c>
      <c r="G36" s="8"/>
      <c r="L36" s="2">
        <v>5097.6</v>
      </c>
      <c r="M36" s="2" t="s">
        <v>330</v>
      </c>
    </row>
    <row r="37" spans="1:13" s="15" customFormat="1" ht="18.75" customHeight="1">
      <c r="A37" s="11">
        <v>9</v>
      </c>
      <c r="B37" s="229" t="s">
        <v>39</v>
      </c>
      <c r="C37" s="230"/>
      <c r="D37" s="230"/>
      <c r="E37" s="231"/>
      <c r="F37" s="120">
        <f>D11</f>
        <v>111826.37</v>
      </c>
      <c r="G37" s="3"/>
      <c r="I37" s="2"/>
      <c r="L37" s="2">
        <v>5097.6</v>
      </c>
      <c r="M37" s="2" t="s">
        <v>332</v>
      </c>
    </row>
    <row r="38" spans="1:13" ht="15.75" customHeight="1">
      <c r="A38" s="11">
        <v>10</v>
      </c>
      <c r="B38" s="232" t="s">
        <v>325</v>
      </c>
      <c r="C38" s="233"/>
      <c r="D38" s="233"/>
      <c r="E38" s="234"/>
      <c r="F38" s="120">
        <f>D12</f>
        <v>7377.0599999999995</v>
      </c>
      <c r="L38" s="2">
        <v>5097.6</v>
      </c>
      <c r="M38" s="2" t="s">
        <v>333</v>
      </c>
    </row>
    <row r="39" spans="1:6" ht="15.75" customHeight="1">
      <c r="A39" s="11">
        <v>11</v>
      </c>
      <c r="B39" s="232" t="s">
        <v>444</v>
      </c>
      <c r="C39" s="233"/>
      <c r="D39" s="233"/>
      <c r="E39" s="234"/>
      <c r="F39" s="45">
        <f>F116+F117+F118+F119+F114</f>
        <v>3641</v>
      </c>
    </row>
    <row r="40" spans="1:6" ht="15.75" customHeight="1">
      <c r="A40" s="11">
        <v>12</v>
      </c>
      <c r="B40" s="232" t="s">
        <v>429</v>
      </c>
      <c r="C40" s="233"/>
      <c r="D40" s="233"/>
      <c r="E40" s="234"/>
      <c r="F40" s="45">
        <f>F113+F115</f>
        <v>9783</v>
      </c>
    </row>
    <row r="41" spans="1:6" ht="15.75" customHeight="1">
      <c r="A41" s="11">
        <v>13</v>
      </c>
      <c r="B41" s="232" t="s">
        <v>438</v>
      </c>
      <c r="C41" s="233"/>
      <c r="D41" s="233"/>
      <c r="E41" s="234"/>
      <c r="F41" s="45">
        <f>F161</f>
        <v>1000</v>
      </c>
    </row>
    <row r="42" spans="1:6" ht="15.75" customHeight="1">
      <c r="A42" s="11">
        <v>14</v>
      </c>
      <c r="B42" s="232" t="s">
        <v>431</v>
      </c>
      <c r="C42" s="233"/>
      <c r="D42" s="233"/>
      <c r="E42" s="234"/>
      <c r="F42" s="45">
        <f>F162</f>
        <v>2400</v>
      </c>
    </row>
    <row r="43" spans="1:6" ht="36.75" customHeight="1">
      <c r="A43" s="11">
        <v>15</v>
      </c>
      <c r="B43" s="232" t="s">
        <v>445</v>
      </c>
      <c r="C43" s="233"/>
      <c r="D43" s="233"/>
      <c r="E43" s="234"/>
      <c r="F43" s="45">
        <f>F167+F163</f>
        <v>32000</v>
      </c>
    </row>
    <row r="44" spans="1:6" ht="15.75" customHeight="1">
      <c r="A44" s="11">
        <v>16</v>
      </c>
      <c r="B44" s="232" t="s">
        <v>469</v>
      </c>
      <c r="C44" s="233"/>
      <c r="D44" s="233"/>
      <c r="E44" s="234"/>
      <c r="F44" s="45">
        <f>F164+F165</f>
        <v>39337.2</v>
      </c>
    </row>
    <row r="45" spans="1:6" ht="15.75" customHeight="1">
      <c r="A45" s="187">
        <v>17</v>
      </c>
      <c r="B45" s="217" t="s">
        <v>392</v>
      </c>
      <c r="C45" s="217"/>
      <c r="D45" s="217"/>
      <c r="E45" s="217"/>
      <c r="F45" s="84">
        <f aca="true" t="shared" si="1" ref="F45:F50">D13</f>
        <v>5758.610000000001</v>
      </c>
    </row>
    <row r="46" spans="1:6" ht="15.75" customHeight="1">
      <c r="A46" s="160">
        <v>18</v>
      </c>
      <c r="B46" s="217" t="s">
        <v>393</v>
      </c>
      <c r="C46" s="217"/>
      <c r="D46" s="217"/>
      <c r="E46" s="217"/>
      <c r="F46" s="161">
        <f t="shared" si="1"/>
        <v>3425.18</v>
      </c>
    </row>
    <row r="47" spans="1:6" ht="15.75" customHeight="1">
      <c r="A47" s="160">
        <v>19</v>
      </c>
      <c r="B47" s="217" t="s">
        <v>394</v>
      </c>
      <c r="C47" s="217"/>
      <c r="D47" s="217"/>
      <c r="E47" s="217"/>
      <c r="F47" s="161">
        <f t="shared" si="1"/>
        <v>64618.29</v>
      </c>
    </row>
    <row r="48" spans="1:6" ht="15.75" customHeight="1">
      <c r="A48" s="11">
        <v>20</v>
      </c>
      <c r="B48" s="217" t="s">
        <v>395</v>
      </c>
      <c r="C48" s="217"/>
      <c r="D48" s="217"/>
      <c r="E48" s="217"/>
      <c r="F48" s="45">
        <f t="shared" si="1"/>
        <v>85137.40999999999</v>
      </c>
    </row>
    <row r="49" spans="1:6" ht="15.75" customHeight="1">
      <c r="A49" s="11">
        <v>21</v>
      </c>
      <c r="B49" s="217" t="s">
        <v>396</v>
      </c>
      <c r="C49" s="217"/>
      <c r="D49" s="217"/>
      <c r="E49" s="217"/>
      <c r="F49" s="45">
        <f t="shared" si="1"/>
        <v>35680.95</v>
      </c>
    </row>
    <row r="50" spans="1:6" ht="15.75" customHeight="1">
      <c r="A50" s="204">
        <v>22</v>
      </c>
      <c r="B50" s="218" t="s">
        <v>397</v>
      </c>
      <c r="C50" s="218"/>
      <c r="D50" s="218"/>
      <c r="E50" s="218"/>
      <c r="F50" s="205">
        <f t="shared" si="1"/>
        <v>5326.280000000001</v>
      </c>
    </row>
    <row r="51" spans="1:6" ht="15.75" customHeight="1">
      <c r="A51" s="99"/>
      <c r="B51" s="235" t="s">
        <v>7</v>
      </c>
      <c r="C51" s="235"/>
      <c r="D51" s="235"/>
      <c r="E51" s="235"/>
      <c r="F51" s="173">
        <f>F26+F27+F28+F29+F30+F34+F35+F36+F37+F38+F39+F40+F41+F42+F43+F44+F45+F46+F47+F48+F49+F50</f>
        <v>1052997.828</v>
      </c>
    </row>
    <row r="52" spans="1:6" ht="18" customHeight="1">
      <c r="A52" s="203"/>
      <c r="B52" s="6"/>
      <c r="C52" s="6"/>
      <c r="D52" s="6"/>
      <c r="E52" s="6"/>
      <c r="F52" s="6"/>
    </row>
    <row r="53" spans="1:6" ht="15.75">
      <c r="A53" s="94" t="s">
        <v>390</v>
      </c>
      <c r="B53" s="94"/>
      <c r="C53" s="94"/>
      <c r="D53" s="94"/>
      <c r="E53" s="94"/>
      <c r="F53" s="45">
        <f>D6+D20-F51</f>
        <v>-3321.3519999997225</v>
      </c>
    </row>
    <row r="54" spans="1:6" ht="18" customHeight="1">
      <c r="A54" s="223" t="s">
        <v>391</v>
      </c>
      <c r="B54" s="223"/>
      <c r="C54" s="223"/>
      <c r="D54" s="223"/>
      <c r="E54" s="223"/>
      <c r="F54" s="45">
        <f>F20</f>
        <v>-94239.1499999999</v>
      </c>
    </row>
    <row r="55" spans="1:6" ht="16.5" customHeight="1" outlineLevel="1">
      <c r="A55" s="224" t="s">
        <v>156</v>
      </c>
      <c r="B55" s="224"/>
      <c r="C55" s="224"/>
      <c r="D55" s="224"/>
      <c r="E55" s="224"/>
      <c r="F55" s="45">
        <f>F53+F54</f>
        <v>-97560.50199999963</v>
      </c>
    </row>
    <row r="56" spans="2:5" ht="50.25" customHeight="1">
      <c r="B56" s="225" t="s">
        <v>323</v>
      </c>
      <c r="C56" s="225"/>
      <c r="D56" s="225"/>
      <c r="E56" s="225"/>
    </row>
    <row r="57" spans="1:6" ht="15.75">
      <c r="A57" s="162" t="s">
        <v>17</v>
      </c>
      <c r="B57" s="162" t="s">
        <v>8</v>
      </c>
      <c r="C57" s="226" t="s">
        <v>30</v>
      </c>
      <c r="D57" s="227"/>
      <c r="E57" s="228"/>
      <c r="F57" s="162" t="s">
        <v>31</v>
      </c>
    </row>
    <row r="58" spans="1:6" ht="44.25" customHeight="1">
      <c r="A58" s="162"/>
      <c r="B58" s="163" t="s">
        <v>398</v>
      </c>
      <c r="C58" s="214" t="s">
        <v>399</v>
      </c>
      <c r="D58" s="215"/>
      <c r="E58" s="216"/>
      <c r="F58" s="164">
        <f>170*7</f>
        <v>1190</v>
      </c>
    </row>
    <row r="59" spans="1:6" ht="45">
      <c r="A59" s="162"/>
      <c r="B59" s="163" t="s">
        <v>398</v>
      </c>
      <c r="C59" s="214" t="s">
        <v>399</v>
      </c>
      <c r="D59" s="215"/>
      <c r="E59" s="216"/>
      <c r="F59" s="164">
        <f>170*7</f>
        <v>1190</v>
      </c>
    </row>
    <row r="60" spans="1:8" ht="30.75" customHeight="1">
      <c r="A60" s="162"/>
      <c r="B60" s="165">
        <v>42760</v>
      </c>
      <c r="C60" s="214" t="s">
        <v>400</v>
      </c>
      <c r="D60" s="215"/>
      <c r="E60" s="216"/>
      <c r="F60" s="164">
        <v>468</v>
      </c>
      <c r="H60" s="18"/>
    </row>
    <row r="61" spans="1:8" ht="15.75" customHeight="1">
      <c r="A61" s="162"/>
      <c r="B61" s="165">
        <v>42774</v>
      </c>
      <c r="C61" s="214" t="s">
        <v>354</v>
      </c>
      <c r="D61" s="215"/>
      <c r="E61" s="216"/>
      <c r="F61" s="164">
        <v>4468</v>
      </c>
      <c r="H61" s="18"/>
    </row>
    <row r="62" spans="1:6" ht="15.75">
      <c r="A62" s="162"/>
      <c r="B62" s="165">
        <v>42817</v>
      </c>
      <c r="C62" s="214" t="s">
        <v>401</v>
      </c>
      <c r="D62" s="215"/>
      <c r="E62" s="216"/>
      <c r="F62" s="164">
        <v>425</v>
      </c>
    </row>
    <row r="63" spans="1:6" ht="15.75" customHeight="1">
      <c r="A63" s="166"/>
      <c r="B63" s="165">
        <v>42859</v>
      </c>
      <c r="C63" s="214" t="s">
        <v>402</v>
      </c>
      <c r="D63" s="215"/>
      <c r="E63" s="216"/>
      <c r="F63" s="164">
        <v>461</v>
      </c>
    </row>
    <row r="64" spans="1:6" ht="15.75" customHeight="1">
      <c r="A64" s="162"/>
      <c r="B64" s="165">
        <v>42871</v>
      </c>
      <c r="C64" s="214" t="s">
        <v>403</v>
      </c>
      <c r="D64" s="215"/>
      <c r="E64" s="216"/>
      <c r="F64" s="164">
        <v>9709</v>
      </c>
    </row>
    <row r="65" spans="1:6" ht="15.75" customHeight="1">
      <c r="A65" s="162"/>
      <c r="B65" s="165">
        <v>42926</v>
      </c>
      <c r="C65" s="214" t="s">
        <v>404</v>
      </c>
      <c r="D65" s="215"/>
      <c r="E65" s="216"/>
      <c r="F65" s="164">
        <v>425</v>
      </c>
    </row>
    <row r="66" spans="1:6" ht="32.25" customHeight="1">
      <c r="A66" s="162"/>
      <c r="B66" s="165">
        <v>42928</v>
      </c>
      <c r="C66" s="214" t="s">
        <v>400</v>
      </c>
      <c r="D66" s="215"/>
      <c r="E66" s="216"/>
      <c r="F66" s="164">
        <v>462</v>
      </c>
    </row>
    <row r="67" spans="1:6" ht="15.75" customHeight="1">
      <c r="A67" s="162"/>
      <c r="B67" s="165">
        <v>42928</v>
      </c>
      <c r="C67" s="214" t="s">
        <v>405</v>
      </c>
      <c r="D67" s="215"/>
      <c r="E67" s="216"/>
      <c r="F67" s="164">
        <v>2635</v>
      </c>
    </row>
    <row r="68" spans="1:6" ht="32.25" customHeight="1">
      <c r="A68" s="162"/>
      <c r="B68" s="165">
        <v>42984</v>
      </c>
      <c r="C68" s="214" t="s">
        <v>406</v>
      </c>
      <c r="D68" s="215"/>
      <c r="E68" s="216"/>
      <c r="F68" s="164">
        <v>654</v>
      </c>
    </row>
    <row r="69" spans="1:6" ht="32.25" customHeight="1">
      <c r="A69" s="162"/>
      <c r="B69" s="165">
        <v>43003</v>
      </c>
      <c r="C69" s="214" t="s">
        <v>400</v>
      </c>
      <c r="D69" s="215"/>
      <c r="E69" s="216"/>
      <c r="F69" s="164">
        <v>460</v>
      </c>
    </row>
    <row r="70" spans="1:6" ht="15.75" customHeight="1">
      <c r="A70" s="162"/>
      <c r="B70" s="165">
        <v>43011</v>
      </c>
      <c r="C70" s="214" t="s">
        <v>404</v>
      </c>
      <c r="D70" s="215"/>
      <c r="E70" s="216"/>
      <c r="F70" s="164">
        <v>425</v>
      </c>
    </row>
    <row r="71" spans="1:6" ht="35.25" customHeight="1">
      <c r="A71" s="162"/>
      <c r="B71" s="165">
        <v>43067</v>
      </c>
      <c r="C71" s="214" t="s">
        <v>406</v>
      </c>
      <c r="D71" s="215"/>
      <c r="E71" s="216"/>
      <c r="F71" s="164">
        <v>584</v>
      </c>
    </row>
    <row r="72" spans="1:6" ht="17.25" customHeight="1">
      <c r="A72" s="162"/>
      <c r="B72" s="165">
        <v>42787</v>
      </c>
      <c r="C72" s="214" t="s">
        <v>363</v>
      </c>
      <c r="D72" s="215"/>
      <c r="E72" s="216"/>
      <c r="F72" s="167">
        <v>1656</v>
      </c>
    </row>
    <row r="73" spans="1:6" ht="31.5" customHeight="1">
      <c r="A73" s="162"/>
      <c r="B73" s="165">
        <v>42794</v>
      </c>
      <c r="C73" s="214" t="s">
        <v>407</v>
      </c>
      <c r="D73" s="215"/>
      <c r="E73" s="216"/>
      <c r="F73" s="167">
        <v>654</v>
      </c>
    </row>
    <row r="74" spans="1:6" ht="31.5" customHeight="1">
      <c r="A74" s="162"/>
      <c r="B74" s="165">
        <v>42816</v>
      </c>
      <c r="C74" s="214" t="s">
        <v>407</v>
      </c>
      <c r="D74" s="215"/>
      <c r="E74" s="216"/>
      <c r="F74" s="167">
        <v>654</v>
      </c>
    </row>
    <row r="75" spans="1:6" ht="30" customHeight="1">
      <c r="A75" s="162"/>
      <c r="B75" s="165">
        <v>42846</v>
      </c>
      <c r="C75" s="214" t="s">
        <v>407</v>
      </c>
      <c r="D75" s="215"/>
      <c r="E75" s="216"/>
      <c r="F75" s="167">
        <v>654</v>
      </c>
    </row>
    <row r="76" spans="1:6" ht="51.75" customHeight="1">
      <c r="A76" s="162"/>
      <c r="B76" s="165">
        <v>42839</v>
      </c>
      <c r="C76" s="214" t="s">
        <v>408</v>
      </c>
      <c r="D76" s="215"/>
      <c r="E76" s="216"/>
      <c r="F76" s="167">
        <v>2216</v>
      </c>
    </row>
    <row r="77" spans="1:6" ht="51.75" customHeight="1">
      <c r="A77" s="162"/>
      <c r="B77" s="165">
        <v>42858</v>
      </c>
      <c r="C77" s="214" t="s">
        <v>409</v>
      </c>
      <c r="D77" s="215"/>
      <c r="E77" s="216"/>
      <c r="F77" s="167">
        <v>3123</v>
      </c>
    </row>
    <row r="78" spans="1:6" ht="33.75" customHeight="1">
      <c r="A78" s="162"/>
      <c r="B78" s="165">
        <v>42886</v>
      </c>
      <c r="C78" s="214" t="s">
        <v>407</v>
      </c>
      <c r="D78" s="215"/>
      <c r="E78" s="216"/>
      <c r="F78" s="167">
        <v>654</v>
      </c>
    </row>
    <row r="79" spans="1:6" ht="31.5" customHeight="1">
      <c r="A79" s="162"/>
      <c r="B79" s="165">
        <v>42874</v>
      </c>
      <c r="C79" s="214" t="s">
        <v>410</v>
      </c>
      <c r="D79" s="215"/>
      <c r="E79" s="216"/>
      <c r="F79" s="167">
        <v>2761</v>
      </c>
    </row>
    <row r="80" spans="1:6" ht="46.5" customHeight="1">
      <c r="A80" s="162"/>
      <c r="B80" s="165">
        <v>42884</v>
      </c>
      <c r="C80" s="214" t="s">
        <v>411</v>
      </c>
      <c r="D80" s="215"/>
      <c r="E80" s="216"/>
      <c r="F80" s="167">
        <v>5428</v>
      </c>
    </row>
    <row r="81" spans="1:6" ht="46.5" customHeight="1">
      <c r="A81" s="162"/>
      <c r="B81" s="165">
        <v>42886</v>
      </c>
      <c r="C81" s="214" t="s">
        <v>410</v>
      </c>
      <c r="D81" s="215"/>
      <c r="E81" s="216"/>
      <c r="F81" s="167">
        <v>4394</v>
      </c>
    </row>
    <row r="82" spans="1:6" s="50" customFormat="1" ht="46.5" customHeight="1">
      <c r="A82" s="162"/>
      <c r="B82" s="165">
        <v>42893</v>
      </c>
      <c r="C82" s="214" t="s">
        <v>407</v>
      </c>
      <c r="D82" s="215"/>
      <c r="E82" s="216"/>
      <c r="F82" s="167">
        <v>654</v>
      </c>
    </row>
    <row r="83" spans="1:6" s="50" customFormat="1" ht="46.5" customHeight="1">
      <c r="A83" s="162"/>
      <c r="B83" s="165">
        <v>42899</v>
      </c>
      <c r="C83" s="214" t="s">
        <v>412</v>
      </c>
      <c r="D83" s="215"/>
      <c r="E83" s="216"/>
      <c r="F83" s="167">
        <v>4634</v>
      </c>
    </row>
    <row r="84" spans="1:6" s="50" customFormat="1" ht="46.5" customHeight="1">
      <c r="A84" s="162"/>
      <c r="B84" s="165">
        <v>42900</v>
      </c>
      <c r="C84" s="214" t="s">
        <v>412</v>
      </c>
      <c r="D84" s="215"/>
      <c r="E84" s="216"/>
      <c r="F84" s="167">
        <v>4634</v>
      </c>
    </row>
    <row r="85" spans="1:6" s="50" customFormat="1" ht="46.5" customHeight="1">
      <c r="A85" s="162"/>
      <c r="B85" s="165">
        <v>42926</v>
      </c>
      <c r="C85" s="214" t="s">
        <v>408</v>
      </c>
      <c r="D85" s="215"/>
      <c r="E85" s="216"/>
      <c r="F85" s="167">
        <v>2712</v>
      </c>
    </row>
    <row r="86" spans="1:6" s="50" customFormat="1" ht="46.5" customHeight="1">
      <c r="A86" s="162"/>
      <c r="B86" s="165">
        <v>42928</v>
      </c>
      <c r="C86" s="214" t="s">
        <v>408</v>
      </c>
      <c r="D86" s="215"/>
      <c r="E86" s="216"/>
      <c r="F86" s="167">
        <v>1756</v>
      </c>
    </row>
    <row r="87" spans="1:6" s="50" customFormat="1" ht="38.25" customHeight="1">
      <c r="A87" s="162"/>
      <c r="B87" s="165">
        <v>42934</v>
      </c>
      <c r="C87" s="214" t="s">
        <v>407</v>
      </c>
      <c r="D87" s="215"/>
      <c r="E87" s="216"/>
      <c r="F87" s="167">
        <v>654</v>
      </c>
    </row>
    <row r="88" spans="1:6" s="50" customFormat="1" ht="15" customHeight="1">
      <c r="A88" s="162"/>
      <c r="B88" s="165">
        <v>42947</v>
      </c>
      <c r="C88" s="214" t="s">
        <v>413</v>
      </c>
      <c r="D88" s="215"/>
      <c r="E88" s="216"/>
      <c r="F88" s="167">
        <v>4870</v>
      </c>
    </row>
    <row r="89" spans="1:6" s="50" customFormat="1" ht="52.5" customHeight="1">
      <c r="A89" s="162"/>
      <c r="B89" s="165">
        <v>42957</v>
      </c>
      <c r="C89" s="214" t="s">
        <v>414</v>
      </c>
      <c r="D89" s="215"/>
      <c r="E89" s="216"/>
      <c r="F89" s="167">
        <v>937</v>
      </c>
    </row>
    <row r="90" spans="1:6" s="50" customFormat="1" ht="37.5" customHeight="1">
      <c r="A90" s="162"/>
      <c r="B90" s="165">
        <v>42957</v>
      </c>
      <c r="C90" s="214" t="s">
        <v>407</v>
      </c>
      <c r="D90" s="215"/>
      <c r="E90" s="216"/>
      <c r="F90" s="167">
        <v>654</v>
      </c>
    </row>
    <row r="91" spans="1:13" s="15" customFormat="1" ht="53.25" customHeight="1">
      <c r="A91" s="162"/>
      <c r="B91" s="165">
        <v>42969</v>
      </c>
      <c r="C91" s="214" t="s">
        <v>414</v>
      </c>
      <c r="D91" s="215"/>
      <c r="E91" s="216"/>
      <c r="F91" s="167">
        <v>937</v>
      </c>
      <c r="L91" s="2"/>
      <c r="M91" s="2"/>
    </row>
    <row r="92" spans="1:6" s="50" customFormat="1" ht="37.5" customHeight="1">
      <c r="A92" s="162"/>
      <c r="B92" s="165">
        <v>42998</v>
      </c>
      <c r="C92" s="214" t="s">
        <v>407</v>
      </c>
      <c r="D92" s="215"/>
      <c r="E92" s="216"/>
      <c r="F92" s="167">
        <v>1208</v>
      </c>
    </row>
    <row r="93" spans="1:6" s="50" customFormat="1" ht="37.5" customHeight="1">
      <c r="A93" s="162"/>
      <c r="B93" s="165">
        <v>43000</v>
      </c>
      <c r="C93" s="214" t="s">
        <v>407</v>
      </c>
      <c r="D93" s="215"/>
      <c r="E93" s="216"/>
      <c r="F93" s="167">
        <v>931</v>
      </c>
    </row>
    <row r="94" spans="1:6" s="50" customFormat="1" ht="15" customHeight="1">
      <c r="A94" s="162"/>
      <c r="B94" s="165">
        <v>43006</v>
      </c>
      <c r="C94" s="214" t="s">
        <v>415</v>
      </c>
      <c r="D94" s="215"/>
      <c r="E94" s="216"/>
      <c r="F94" s="167">
        <v>3052</v>
      </c>
    </row>
    <row r="95" spans="1:6" ht="15.75">
      <c r="A95" s="162"/>
      <c r="B95" s="165">
        <v>43006</v>
      </c>
      <c r="C95" s="214" t="s">
        <v>416</v>
      </c>
      <c r="D95" s="215"/>
      <c r="E95" s="216"/>
      <c r="F95" s="167">
        <v>3800</v>
      </c>
    </row>
    <row r="96" spans="1:13" s="15" customFormat="1" ht="33.75" customHeight="1">
      <c r="A96" s="162"/>
      <c r="B96" s="165">
        <v>43019</v>
      </c>
      <c r="C96" s="214" t="s">
        <v>407</v>
      </c>
      <c r="D96" s="215"/>
      <c r="E96" s="216"/>
      <c r="F96" s="167">
        <v>1068</v>
      </c>
      <c r="L96" s="2"/>
      <c r="M96" s="2"/>
    </row>
    <row r="97" spans="1:6" s="50" customFormat="1" ht="33.75" customHeight="1">
      <c r="A97" s="162"/>
      <c r="B97" s="165">
        <v>43042</v>
      </c>
      <c r="C97" s="214" t="s">
        <v>407</v>
      </c>
      <c r="D97" s="215"/>
      <c r="E97" s="216"/>
      <c r="F97" s="167">
        <v>654</v>
      </c>
    </row>
    <row r="98" spans="1:6" ht="33.75" customHeight="1">
      <c r="A98" s="162"/>
      <c r="B98" s="165">
        <v>43047</v>
      </c>
      <c r="C98" s="214" t="s">
        <v>407</v>
      </c>
      <c r="D98" s="215"/>
      <c r="E98" s="216"/>
      <c r="F98" s="167">
        <v>654</v>
      </c>
    </row>
    <row r="99" spans="1:6" ht="33.75" customHeight="1">
      <c r="A99" s="162"/>
      <c r="B99" s="165">
        <v>43053</v>
      </c>
      <c r="C99" s="214" t="s">
        <v>407</v>
      </c>
      <c r="D99" s="215"/>
      <c r="E99" s="216"/>
      <c r="F99" s="167">
        <v>654</v>
      </c>
    </row>
    <row r="100" spans="1:8" ht="47.25" customHeight="1">
      <c r="A100" s="162"/>
      <c r="B100" s="165">
        <v>43094</v>
      </c>
      <c r="C100" s="214" t="s">
        <v>408</v>
      </c>
      <c r="D100" s="215"/>
      <c r="E100" s="216"/>
      <c r="F100" s="167">
        <v>1125</v>
      </c>
      <c r="H100" s="18"/>
    </row>
    <row r="101" spans="1:8" ht="81.75" customHeight="1">
      <c r="A101" s="162"/>
      <c r="B101" s="165">
        <v>42754</v>
      </c>
      <c r="C101" s="214" t="s">
        <v>417</v>
      </c>
      <c r="D101" s="215"/>
      <c r="E101" s="216"/>
      <c r="F101" s="168">
        <v>7126</v>
      </c>
      <c r="H101" s="18"/>
    </row>
    <row r="102" spans="1:8" ht="35.25" customHeight="1">
      <c r="A102" s="162"/>
      <c r="B102" s="165">
        <v>42761</v>
      </c>
      <c r="C102" s="214" t="s">
        <v>418</v>
      </c>
      <c r="D102" s="215"/>
      <c r="E102" s="216"/>
      <c r="F102" s="168">
        <v>2408</v>
      </c>
      <c r="H102" s="18"/>
    </row>
    <row r="103" spans="1:6" ht="15.75" customHeight="1">
      <c r="A103" s="162"/>
      <c r="B103" s="165">
        <v>42775</v>
      </c>
      <c r="C103" s="214" t="s">
        <v>419</v>
      </c>
      <c r="D103" s="215"/>
      <c r="E103" s="216"/>
      <c r="F103" s="168">
        <v>2836</v>
      </c>
    </row>
    <row r="104" spans="1:6" ht="15.75">
      <c r="A104" s="162"/>
      <c r="B104" s="165">
        <v>42769</v>
      </c>
      <c r="C104" s="214" t="s">
        <v>420</v>
      </c>
      <c r="D104" s="215"/>
      <c r="E104" s="216"/>
      <c r="F104" s="168">
        <v>3203</v>
      </c>
    </row>
    <row r="105" spans="1:6" ht="21.75" customHeight="1">
      <c r="A105" s="162"/>
      <c r="B105" s="165">
        <v>42929</v>
      </c>
      <c r="C105" s="214" t="s">
        <v>421</v>
      </c>
      <c r="D105" s="215"/>
      <c r="E105" s="216"/>
      <c r="F105" s="168">
        <v>5281</v>
      </c>
    </row>
    <row r="106" spans="1:6" ht="15.75" customHeight="1">
      <c r="A106" s="162"/>
      <c r="B106" s="165">
        <v>42943</v>
      </c>
      <c r="C106" s="214" t="s">
        <v>422</v>
      </c>
      <c r="D106" s="215"/>
      <c r="E106" s="216"/>
      <c r="F106" s="168">
        <v>1074</v>
      </c>
    </row>
    <row r="107" spans="1:6" ht="15.75" customHeight="1">
      <c r="A107" s="162"/>
      <c r="B107" s="165">
        <v>42879</v>
      </c>
      <c r="C107" s="214" t="s">
        <v>423</v>
      </c>
      <c r="D107" s="215"/>
      <c r="E107" s="216"/>
      <c r="F107" s="168">
        <v>3241</v>
      </c>
    </row>
    <row r="108" spans="1:6" ht="15.75" customHeight="1">
      <c r="A108" s="162"/>
      <c r="B108" s="165">
        <v>42879</v>
      </c>
      <c r="C108" s="214" t="s">
        <v>424</v>
      </c>
      <c r="D108" s="215"/>
      <c r="E108" s="216"/>
      <c r="F108" s="168">
        <v>540</v>
      </c>
    </row>
    <row r="109" spans="1:6" ht="15.75">
      <c r="A109" s="162"/>
      <c r="B109" s="165">
        <v>42886</v>
      </c>
      <c r="C109" s="214" t="s">
        <v>425</v>
      </c>
      <c r="D109" s="215"/>
      <c r="E109" s="216"/>
      <c r="F109" s="168">
        <v>6080</v>
      </c>
    </row>
    <row r="110" spans="1:6" ht="15.75">
      <c r="A110" s="162"/>
      <c r="B110" s="165">
        <v>42948</v>
      </c>
      <c r="C110" s="214" t="s">
        <v>426</v>
      </c>
      <c r="D110" s="215"/>
      <c r="E110" s="216"/>
      <c r="F110" s="168">
        <v>540</v>
      </c>
    </row>
    <row r="111" spans="1:6" ht="15.75">
      <c r="A111" s="162"/>
      <c r="B111" s="165">
        <v>42951</v>
      </c>
      <c r="C111" s="214" t="s">
        <v>427</v>
      </c>
      <c r="D111" s="215"/>
      <c r="E111" s="216"/>
      <c r="F111" s="168">
        <v>3041</v>
      </c>
    </row>
    <row r="112" spans="1:6" ht="15.75" customHeight="1">
      <c r="A112" s="162"/>
      <c r="B112" s="165">
        <v>43027</v>
      </c>
      <c r="C112" s="214" t="s">
        <v>428</v>
      </c>
      <c r="D112" s="215"/>
      <c r="E112" s="216"/>
      <c r="F112" s="168">
        <v>481</v>
      </c>
    </row>
    <row r="113" spans="1:6" ht="15.75" customHeight="1">
      <c r="A113" s="162"/>
      <c r="B113" s="165">
        <v>43097</v>
      </c>
      <c r="C113" s="214" t="s">
        <v>429</v>
      </c>
      <c r="D113" s="215"/>
      <c r="E113" s="216"/>
      <c r="F113" s="191">
        <v>5435</v>
      </c>
    </row>
    <row r="114" spans="1:6" ht="15.75" customHeight="1">
      <c r="A114" s="162"/>
      <c r="B114" s="165">
        <v>42855</v>
      </c>
      <c r="C114" s="214" t="s">
        <v>430</v>
      </c>
      <c r="D114" s="215"/>
      <c r="E114" s="216"/>
      <c r="F114" s="193">
        <v>761</v>
      </c>
    </row>
    <row r="115" spans="1:6" ht="15.75" customHeight="1">
      <c r="A115" s="162"/>
      <c r="B115" s="165">
        <v>42886</v>
      </c>
      <c r="C115" s="214" t="s">
        <v>429</v>
      </c>
      <c r="D115" s="215"/>
      <c r="E115" s="216"/>
      <c r="F115" s="191">
        <v>4348</v>
      </c>
    </row>
    <row r="116" spans="1:6" ht="15.75" customHeight="1">
      <c r="A116" s="162"/>
      <c r="B116" s="165">
        <v>42886</v>
      </c>
      <c r="C116" s="214" t="s">
        <v>353</v>
      </c>
      <c r="D116" s="215"/>
      <c r="E116" s="216"/>
      <c r="F116" s="193">
        <v>720</v>
      </c>
    </row>
    <row r="117" spans="1:6" ht="15.75" customHeight="1">
      <c r="A117" s="162"/>
      <c r="B117" s="165">
        <v>42947</v>
      </c>
      <c r="C117" s="214" t="s">
        <v>353</v>
      </c>
      <c r="D117" s="215"/>
      <c r="E117" s="216"/>
      <c r="F117" s="193">
        <v>720</v>
      </c>
    </row>
    <row r="118" spans="1:6" ht="15.75" customHeight="1">
      <c r="A118" s="162"/>
      <c r="B118" s="165">
        <v>42978</v>
      </c>
      <c r="C118" s="214" t="s">
        <v>353</v>
      </c>
      <c r="D118" s="215"/>
      <c r="E118" s="216"/>
      <c r="F118" s="193">
        <v>720</v>
      </c>
    </row>
    <row r="119" spans="1:6" ht="15.75" customHeight="1">
      <c r="A119" s="162"/>
      <c r="B119" s="165">
        <v>43039</v>
      </c>
      <c r="C119" s="214" t="s">
        <v>353</v>
      </c>
      <c r="D119" s="215"/>
      <c r="E119" s="216"/>
      <c r="F119" s="193">
        <v>720</v>
      </c>
    </row>
    <row r="120" spans="1:6" ht="15.75" customHeight="1">
      <c r="A120" s="162"/>
      <c r="B120" s="165">
        <v>42754</v>
      </c>
      <c r="C120" s="219" t="s">
        <v>432</v>
      </c>
      <c r="D120" s="220"/>
      <c r="E120" s="221"/>
      <c r="F120" s="182">
        <f>392.16*2</f>
        <v>784.32</v>
      </c>
    </row>
    <row r="121" spans="1:6" ht="15.75" customHeight="1">
      <c r="A121" s="162"/>
      <c r="B121" s="165">
        <v>42803</v>
      </c>
      <c r="C121" s="214" t="s">
        <v>433</v>
      </c>
      <c r="D121" s="215"/>
      <c r="E121" s="216"/>
      <c r="F121" s="182">
        <v>5600</v>
      </c>
    </row>
    <row r="122" spans="1:6" ht="15.75" customHeight="1">
      <c r="A122" s="162"/>
      <c r="B122" s="165">
        <v>42761</v>
      </c>
      <c r="C122" s="219" t="s">
        <v>434</v>
      </c>
      <c r="D122" s="220"/>
      <c r="E122" s="221"/>
      <c r="F122" s="182">
        <f aca="true" t="shared" si="2" ref="F122:F133">2312.8*2+236*2</f>
        <v>5097.6</v>
      </c>
    </row>
    <row r="123" spans="1:6" ht="15.75" customHeight="1">
      <c r="A123" s="162"/>
      <c r="B123" s="165">
        <v>42786</v>
      </c>
      <c r="C123" s="219" t="s">
        <v>434</v>
      </c>
      <c r="D123" s="220"/>
      <c r="E123" s="221"/>
      <c r="F123" s="182">
        <f t="shared" si="2"/>
        <v>5097.6</v>
      </c>
    </row>
    <row r="124" spans="1:6" ht="15.75" customHeight="1">
      <c r="A124" s="162"/>
      <c r="B124" s="165">
        <v>42817</v>
      </c>
      <c r="C124" s="219" t="s">
        <v>434</v>
      </c>
      <c r="D124" s="220"/>
      <c r="E124" s="221"/>
      <c r="F124" s="182">
        <f t="shared" si="2"/>
        <v>5097.6</v>
      </c>
    </row>
    <row r="125" spans="1:6" ht="15.75" customHeight="1">
      <c r="A125" s="162"/>
      <c r="B125" s="165">
        <v>42849</v>
      </c>
      <c r="C125" s="219" t="s">
        <v>434</v>
      </c>
      <c r="D125" s="220"/>
      <c r="E125" s="221"/>
      <c r="F125" s="182">
        <f t="shared" si="2"/>
        <v>5097.6</v>
      </c>
    </row>
    <row r="126" spans="1:6" ht="15.75" customHeight="1">
      <c r="A126" s="162"/>
      <c r="B126" s="165">
        <v>42878</v>
      </c>
      <c r="C126" s="219" t="s">
        <v>434</v>
      </c>
      <c r="D126" s="220"/>
      <c r="E126" s="221"/>
      <c r="F126" s="182">
        <f t="shared" si="2"/>
        <v>5097.6</v>
      </c>
    </row>
    <row r="127" spans="1:6" ht="15.75" customHeight="1">
      <c r="A127" s="162"/>
      <c r="B127" s="165">
        <v>42909</v>
      </c>
      <c r="C127" s="219" t="s">
        <v>434</v>
      </c>
      <c r="D127" s="220"/>
      <c r="E127" s="221"/>
      <c r="F127" s="182">
        <f t="shared" si="2"/>
        <v>5097.6</v>
      </c>
    </row>
    <row r="128" spans="1:6" ht="15.75" customHeight="1">
      <c r="A128" s="162"/>
      <c r="B128" s="165">
        <v>42940</v>
      </c>
      <c r="C128" s="219" t="s">
        <v>434</v>
      </c>
      <c r="D128" s="220"/>
      <c r="E128" s="221"/>
      <c r="F128" s="182">
        <f t="shared" si="2"/>
        <v>5097.6</v>
      </c>
    </row>
    <row r="129" spans="1:6" ht="15.75" customHeight="1">
      <c r="A129" s="162"/>
      <c r="B129" s="165">
        <v>42970</v>
      </c>
      <c r="C129" s="219" t="s">
        <v>434</v>
      </c>
      <c r="D129" s="220"/>
      <c r="E129" s="221"/>
      <c r="F129" s="182">
        <f t="shared" si="2"/>
        <v>5097.6</v>
      </c>
    </row>
    <row r="130" spans="1:6" ht="15.75" customHeight="1">
      <c r="A130" s="162"/>
      <c r="B130" s="165">
        <v>43000</v>
      </c>
      <c r="C130" s="219" t="s">
        <v>434</v>
      </c>
      <c r="D130" s="220"/>
      <c r="E130" s="221"/>
      <c r="F130" s="182">
        <f t="shared" si="2"/>
        <v>5097.6</v>
      </c>
    </row>
    <row r="131" spans="1:6" ht="15.75" customHeight="1">
      <c r="A131" s="162"/>
      <c r="B131" s="165">
        <v>43031</v>
      </c>
      <c r="C131" s="219" t="s">
        <v>434</v>
      </c>
      <c r="D131" s="220"/>
      <c r="E131" s="221"/>
      <c r="F131" s="182">
        <f t="shared" si="2"/>
        <v>5097.6</v>
      </c>
    </row>
    <row r="132" spans="1:6" ht="15.75" customHeight="1">
      <c r="A132" s="162"/>
      <c r="B132" s="165">
        <v>43061</v>
      </c>
      <c r="C132" s="219" t="s">
        <v>434</v>
      </c>
      <c r="D132" s="220"/>
      <c r="E132" s="221"/>
      <c r="F132" s="182">
        <f t="shared" si="2"/>
        <v>5097.6</v>
      </c>
    </row>
    <row r="133" spans="1:6" ht="15.75" customHeight="1">
      <c r="A133" s="162"/>
      <c r="B133" s="165">
        <v>43083</v>
      </c>
      <c r="C133" s="219" t="s">
        <v>434</v>
      </c>
      <c r="D133" s="220"/>
      <c r="E133" s="221"/>
      <c r="F133" s="182">
        <f t="shared" si="2"/>
        <v>5097.6</v>
      </c>
    </row>
    <row r="134" spans="1:6" ht="31.5" customHeight="1">
      <c r="A134" s="162"/>
      <c r="B134" s="165">
        <v>42765</v>
      </c>
      <c r="C134" s="214" t="s">
        <v>435</v>
      </c>
      <c r="D134" s="215"/>
      <c r="E134" s="216"/>
      <c r="F134" s="183">
        <v>800</v>
      </c>
    </row>
    <row r="135" spans="1:6" ht="31.5" customHeight="1">
      <c r="A135" s="162"/>
      <c r="B135" s="165">
        <v>42765</v>
      </c>
      <c r="C135" s="214" t="s">
        <v>435</v>
      </c>
      <c r="D135" s="215"/>
      <c r="E135" s="216"/>
      <c r="F135" s="183">
        <v>800</v>
      </c>
    </row>
    <row r="136" spans="1:6" ht="31.5" customHeight="1">
      <c r="A136" s="162"/>
      <c r="B136" s="165">
        <v>42794</v>
      </c>
      <c r="C136" s="214" t="s">
        <v>435</v>
      </c>
      <c r="D136" s="215"/>
      <c r="E136" s="216"/>
      <c r="F136" s="183">
        <v>800</v>
      </c>
    </row>
    <row r="137" spans="1:6" ht="31.5" customHeight="1">
      <c r="A137" s="162"/>
      <c r="B137" s="165">
        <v>42794</v>
      </c>
      <c r="C137" s="214" t="s">
        <v>435</v>
      </c>
      <c r="D137" s="215"/>
      <c r="E137" s="216"/>
      <c r="F137" s="183">
        <v>800</v>
      </c>
    </row>
    <row r="138" spans="1:6" ht="31.5" customHeight="1">
      <c r="A138" s="162"/>
      <c r="B138" s="165">
        <v>42823</v>
      </c>
      <c r="C138" s="214" t="s">
        <v>435</v>
      </c>
      <c r="D138" s="215"/>
      <c r="E138" s="216"/>
      <c r="F138" s="183">
        <v>800</v>
      </c>
    </row>
    <row r="139" spans="1:6" ht="31.5" customHeight="1">
      <c r="A139" s="162"/>
      <c r="B139" s="165">
        <v>42823</v>
      </c>
      <c r="C139" s="214" t="s">
        <v>435</v>
      </c>
      <c r="D139" s="215"/>
      <c r="E139" s="216"/>
      <c r="F139" s="183">
        <v>800</v>
      </c>
    </row>
    <row r="140" spans="1:6" ht="31.5" customHeight="1">
      <c r="A140" s="162"/>
      <c r="B140" s="165">
        <v>42853</v>
      </c>
      <c r="C140" s="214" t="s">
        <v>435</v>
      </c>
      <c r="D140" s="215"/>
      <c r="E140" s="216"/>
      <c r="F140" s="183">
        <v>800</v>
      </c>
    </row>
    <row r="141" spans="1:6" ht="31.5" customHeight="1">
      <c r="A141" s="162"/>
      <c r="B141" s="165">
        <v>42853</v>
      </c>
      <c r="C141" s="214" t="s">
        <v>435</v>
      </c>
      <c r="D141" s="215"/>
      <c r="E141" s="216"/>
      <c r="F141" s="183">
        <v>800</v>
      </c>
    </row>
    <row r="142" spans="1:6" ht="31.5" customHeight="1">
      <c r="A142" s="162"/>
      <c r="B142" s="165">
        <v>42885</v>
      </c>
      <c r="C142" s="214" t="s">
        <v>435</v>
      </c>
      <c r="D142" s="215"/>
      <c r="E142" s="216"/>
      <c r="F142" s="183">
        <v>800</v>
      </c>
    </row>
    <row r="143" spans="1:6" ht="31.5" customHeight="1">
      <c r="A143" s="162"/>
      <c r="B143" s="165">
        <v>42885</v>
      </c>
      <c r="C143" s="214" t="s">
        <v>435</v>
      </c>
      <c r="D143" s="215"/>
      <c r="E143" s="216"/>
      <c r="F143" s="183">
        <v>800</v>
      </c>
    </row>
    <row r="144" spans="1:6" ht="31.5" customHeight="1">
      <c r="A144" s="162"/>
      <c r="B144" s="165">
        <v>42914</v>
      </c>
      <c r="C144" s="214" t="s">
        <v>435</v>
      </c>
      <c r="D144" s="215"/>
      <c r="E144" s="216"/>
      <c r="F144" s="183">
        <v>800</v>
      </c>
    </row>
    <row r="145" spans="1:6" ht="31.5" customHeight="1">
      <c r="A145" s="162"/>
      <c r="B145" s="165">
        <v>42914</v>
      </c>
      <c r="C145" s="214" t="s">
        <v>435</v>
      </c>
      <c r="D145" s="215"/>
      <c r="E145" s="216"/>
      <c r="F145" s="183">
        <v>800</v>
      </c>
    </row>
    <row r="146" spans="1:6" ht="31.5" customHeight="1">
      <c r="A146" s="162"/>
      <c r="B146" s="165">
        <v>42942</v>
      </c>
      <c r="C146" s="214" t="s">
        <v>435</v>
      </c>
      <c r="D146" s="215"/>
      <c r="E146" s="216"/>
      <c r="F146" s="183">
        <v>800</v>
      </c>
    </row>
    <row r="147" spans="1:6" ht="31.5" customHeight="1">
      <c r="A147" s="162"/>
      <c r="B147" s="165">
        <v>42942</v>
      </c>
      <c r="C147" s="214" t="s">
        <v>435</v>
      </c>
      <c r="D147" s="215"/>
      <c r="E147" s="216"/>
      <c r="F147" s="183">
        <v>800</v>
      </c>
    </row>
    <row r="148" spans="1:6" ht="31.5" customHeight="1">
      <c r="A148" s="162"/>
      <c r="B148" s="165">
        <v>42975</v>
      </c>
      <c r="C148" s="214" t="s">
        <v>435</v>
      </c>
      <c r="D148" s="215"/>
      <c r="E148" s="216"/>
      <c r="F148" s="183">
        <v>800</v>
      </c>
    </row>
    <row r="149" spans="1:6" ht="31.5" customHeight="1">
      <c r="A149" s="162"/>
      <c r="B149" s="165">
        <v>42975</v>
      </c>
      <c r="C149" s="214" t="s">
        <v>435</v>
      </c>
      <c r="D149" s="215"/>
      <c r="E149" s="216"/>
      <c r="F149" s="183">
        <v>800</v>
      </c>
    </row>
    <row r="150" spans="1:6" ht="31.5" customHeight="1">
      <c r="A150" s="162"/>
      <c r="B150" s="165">
        <v>43004</v>
      </c>
      <c r="C150" s="214" t="s">
        <v>435</v>
      </c>
      <c r="D150" s="215"/>
      <c r="E150" s="216"/>
      <c r="F150" s="183">
        <v>800</v>
      </c>
    </row>
    <row r="151" spans="1:6" ht="31.5" customHeight="1">
      <c r="A151" s="162"/>
      <c r="B151" s="165">
        <v>43004</v>
      </c>
      <c r="C151" s="214" t="s">
        <v>435</v>
      </c>
      <c r="D151" s="215"/>
      <c r="E151" s="216"/>
      <c r="F151" s="183">
        <v>800</v>
      </c>
    </row>
    <row r="152" spans="1:6" ht="31.5" customHeight="1">
      <c r="A152" s="162"/>
      <c r="B152" s="165">
        <v>43035</v>
      </c>
      <c r="C152" s="214" t="s">
        <v>435</v>
      </c>
      <c r="D152" s="215"/>
      <c r="E152" s="216"/>
      <c r="F152" s="183">
        <v>800</v>
      </c>
    </row>
    <row r="153" spans="1:6" ht="31.5" customHeight="1">
      <c r="A153" s="162"/>
      <c r="B153" s="165">
        <v>43035</v>
      </c>
      <c r="C153" s="214" t="s">
        <v>435</v>
      </c>
      <c r="D153" s="215"/>
      <c r="E153" s="216"/>
      <c r="F153" s="183">
        <v>800</v>
      </c>
    </row>
    <row r="154" spans="1:6" ht="31.5" customHeight="1">
      <c r="A154" s="162"/>
      <c r="B154" s="165">
        <v>43067</v>
      </c>
      <c r="C154" s="214" t="s">
        <v>435</v>
      </c>
      <c r="D154" s="215"/>
      <c r="E154" s="216"/>
      <c r="F154" s="183">
        <v>800</v>
      </c>
    </row>
    <row r="155" spans="1:6" ht="31.5" customHeight="1">
      <c r="A155" s="162"/>
      <c r="B155" s="165">
        <v>43067</v>
      </c>
      <c r="C155" s="214" t="s">
        <v>435</v>
      </c>
      <c r="D155" s="215"/>
      <c r="E155" s="216"/>
      <c r="F155" s="183">
        <v>800</v>
      </c>
    </row>
    <row r="156" spans="1:6" ht="31.5" customHeight="1">
      <c r="A156" s="162"/>
      <c r="B156" s="165">
        <v>43084</v>
      </c>
      <c r="C156" s="214" t="s">
        <v>435</v>
      </c>
      <c r="D156" s="215"/>
      <c r="E156" s="216"/>
      <c r="F156" s="183">
        <v>800</v>
      </c>
    </row>
    <row r="157" spans="1:6" ht="31.5" customHeight="1">
      <c r="A157" s="162"/>
      <c r="B157" s="165">
        <v>43084</v>
      </c>
      <c r="C157" s="214" t="s">
        <v>435</v>
      </c>
      <c r="D157" s="215"/>
      <c r="E157" s="216"/>
      <c r="F157" s="183">
        <v>800</v>
      </c>
    </row>
    <row r="158" spans="1:6" ht="18.75" customHeight="1">
      <c r="A158" s="162"/>
      <c r="B158" s="165">
        <v>42791</v>
      </c>
      <c r="C158" s="219" t="s">
        <v>436</v>
      </c>
      <c r="D158" s="220"/>
      <c r="E158" s="221"/>
      <c r="F158" s="177">
        <v>690</v>
      </c>
    </row>
    <row r="159" spans="1:6" ht="18.75" customHeight="1">
      <c r="A159" s="162"/>
      <c r="B159" s="165">
        <v>42837</v>
      </c>
      <c r="C159" s="219" t="s">
        <v>437</v>
      </c>
      <c r="D159" s="220"/>
      <c r="E159" s="221"/>
      <c r="F159" s="177">
        <v>690</v>
      </c>
    </row>
    <row r="160" spans="1:6" ht="18.75" customHeight="1">
      <c r="A160" s="162"/>
      <c r="B160" s="165">
        <v>42929</v>
      </c>
      <c r="C160" s="219" t="s">
        <v>436</v>
      </c>
      <c r="D160" s="220"/>
      <c r="E160" s="221"/>
      <c r="F160" s="177">
        <v>690</v>
      </c>
    </row>
    <row r="161" spans="1:6" ht="30.75" customHeight="1">
      <c r="A161" s="162"/>
      <c r="B161" s="165">
        <v>42768</v>
      </c>
      <c r="C161" s="214" t="s">
        <v>438</v>
      </c>
      <c r="D161" s="215"/>
      <c r="E161" s="216"/>
      <c r="F161" s="190">
        <v>1000</v>
      </c>
    </row>
    <row r="162" spans="1:6" ht="18.75" customHeight="1">
      <c r="A162" s="162"/>
      <c r="B162" s="165">
        <v>42746</v>
      </c>
      <c r="C162" s="219" t="s">
        <v>431</v>
      </c>
      <c r="D162" s="220"/>
      <c r="E162" s="221"/>
      <c r="F162" s="192">
        <v>2400</v>
      </c>
    </row>
    <row r="163" spans="1:6" ht="33" customHeight="1">
      <c r="A163" s="162"/>
      <c r="B163" s="165">
        <v>42930</v>
      </c>
      <c r="C163" s="214" t="s">
        <v>439</v>
      </c>
      <c r="D163" s="215"/>
      <c r="E163" s="216"/>
      <c r="F163" s="188">
        <v>7000</v>
      </c>
    </row>
    <row r="164" spans="1:6" ht="32.25" customHeight="1">
      <c r="A164" s="162"/>
      <c r="B164" s="165">
        <v>42947</v>
      </c>
      <c r="C164" s="214" t="s">
        <v>469</v>
      </c>
      <c r="D164" s="215"/>
      <c r="E164" s="216"/>
      <c r="F164" s="189">
        <v>19668.6</v>
      </c>
    </row>
    <row r="165" spans="1:6" ht="32.25" customHeight="1">
      <c r="A165" s="162"/>
      <c r="B165" s="165">
        <v>42947</v>
      </c>
      <c r="C165" s="214" t="s">
        <v>469</v>
      </c>
      <c r="D165" s="215"/>
      <c r="E165" s="216"/>
      <c r="F165" s="189">
        <v>19668.6</v>
      </c>
    </row>
    <row r="166" spans="1:6" ht="16.5" customHeight="1">
      <c r="A166" s="162"/>
      <c r="B166" s="165">
        <v>42944</v>
      </c>
      <c r="C166" s="214" t="s">
        <v>440</v>
      </c>
      <c r="D166" s="215"/>
      <c r="E166" s="216"/>
      <c r="F166" s="168">
        <v>450</v>
      </c>
    </row>
    <row r="167" spans="1:6" ht="16.5" customHeight="1">
      <c r="A167" s="162"/>
      <c r="B167" s="165">
        <v>42885</v>
      </c>
      <c r="C167" s="179" t="s">
        <v>441</v>
      </c>
      <c r="D167" s="180"/>
      <c r="E167" s="181"/>
      <c r="F167" s="188">
        <v>25000</v>
      </c>
    </row>
    <row r="168" spans="1:6" ht="12.75" customHeight="1">
      <c r="A168" s="162"/>
      <c r="B168" s="165"/>
      <c r="C168" s="179"/>
      <c r="D168" s="180"/>
      <c r="E168" s="181"/>
      <c r="F168" s="166"/>
    </row>
    <row r="169" spans="1:6" ht="12.75" customHeight="1">
      <c r="A169" s="169"/>
      <c r="B169" s="170"/>
      <c r="C169" s="171"/>
      <c r="D169" s="171"/>
      <c r="E169" s="171"/>
      <c r="F169" s="172"/>
    </row>
    <row r="170" spans="1:6" ht="12.75" customHeight="1">
      <c r="A170" s="222" t="s">
        <v>32</v>
      </c>
      <c r="B170" s="222"/>
      <c r="C170" s="222"/>
      <c r="D170" s="222"/>
      <c r="E170" s="222"/>
      <c r="F170" s="173">
        <f>SUM(F58:F169)</f>
        <v>294625.7200000001</v>
      </c>
    </row>
    <row r="171" spans="1:6" ht="12.75" customHeight="1">
      <c r="A171" s="174"/>
      <c r="B171" s="175"/>
      <c r="C171" s="174"/>
      <c r="D171" s="174"/>
      <c r="E171" s="174"/>
      <c r="F171" s="176"/>
    </row>
  </sheetData>
  <sheetProtection/>
  <mergeCells count="144">
    <mergeCell ref="B28:E28"/>
    <mergeCell ref="B29:E29"/>
    <mergeCell ref="A1:F1"/>
    <mergeCell ref="A2:F2"/>
    <mergeCell ref="A23:F23"/>
    <mergeCell ref="B25:E25"/>
    <mergeCell ref="B26:E26"/>
    <mergeCell ref="B27:E27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51:E51"/>
    <mergeCell ref="B39:E39"/>
    <mergeCell ref="B40:E40"/>
    <mergeCell ref="B41:E41"/>
    <mergeCell ref="B42:E42"/>
    <mergeCell ref="B43:E43"/>
    <mergeCell ref="B44:E44"/>
    <mergeCell ref="A54:E54"/>
    <mergeCell ref="A55:E55"/>
    <mergeCell ref="B56:E56"/>
    <mergeCell ref="C57:E57"/>
    <mergeCell ref="C58:E58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89:E89"/>
    <mergeCell ref="C90:E90"/>
    <mergeCell ref="C79:E79"/>
    <mergeCell ref="C80:E80"/>
    <mergeCell ref="C81:E81"/>
    <mergeCell ref="C82:E82"/>
    <mergeCell ref="C83:E83"/>
    <mergeCell ref="C84:E84"/>
    <mergeCell ref="C101:E101"/>
    <mergeCell ref="C102:E102"/>
    <mergeCell ref="C91:E91"/>
    <mergeCell ref="C92:E92"/>
    <mergeCell ref="C93:E93"/>
    <mergeCell ref="C94:E94"/>
    <mergeCell ref="C95:E95"/>
    <mergeCell ref="C96:E96"/>
    <mergeCell ref="C99:E99"/>
    <mergeCell ref="C100:E100"/>
    <mergeCell ref="C111:E111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B45:E45"/>
    <mergeCell ref="B46:E46"/>
    <mergeCell ref="B47:E47"/>
    <mergeCell ref="C59:E59"/>
    <mergeCell ref="C97:E97"/>
    <mergeCell ref="C98:E98"/>
    <mergeCell ref="C85:E85"/>
    <mergeCell ref="C86:E86"/>
    <mergeCell ref="C87:E87"/>
    <mergeCell ref="C88:E88"/>
    <mergeCell ref="C118:E118"/>
    <mergeCell ref="C119:E119"/>
    <mergeCell ref="A170:E170"/>
    <mergeCell ref="C162:E162"/>
    <mergeCell ref="C112:E112"/>
    <mergeCell ref="C113:E113"/>
    <mergeCell ref="C114:E114"/>
    <mergeCell ref="C115:E115"/>
    <mergeCell ref="C116:E116"/>
    <mergeCell ref="C117:E117"/>
    <mergeCell ref="C130:E130"/>
    <mergeCell ref="C120:E120"/>
    <mergeCell ref="C121:E121"/>
    <mergeCell ref="C122:E122"/>
    <mergeCell ref="C123:E123"/>
    <mergeCell ref="C124:E124"/>
    <mergeCell ref="C131:E131"/>
    <mergeCell ref="C132:E132"/>
    <mergeCell ref="C133:E133"/>
    <mergeCell ref="C134:E134"/>
    <mergeCell ref="C135:E135"/>
    <mergeCell ref="C125:E125"/>
    <mergeCell ref="C126:E126"/>
    <mergeCell ref="C127:E127"/>
    <mergeCell ref="C128:E128"/>
    <mergeCell ref="C129:E129"/>
    <mergeCell ref="C136:E136"/>
    <mergeCell ref="C137:E137"/>
    <mergeCell ref="C138:E138"/>
    <mergeCell ref="C139:E139"/>
    <mergeCell ref="C140:E140"/>
    <mergeCell ref="C141:E141"/>
    <mergeCell ref="C153:E153"/>
    <mergeCell ref="C142:E142"/>
    <mergeCell ref="C143:E143"/>
    <mergeCell ref="C144:E144"/>
    <mergeCell ref="C145:E145"/>
    <mergeCell ref="C146:E146"/>
    <mergeCell ref="C147:E147"/>
    <mergeCell ref="C154:E154"/>
    <mergeCell ref="C155:E155"/>
    <mergeCell ref="C156:E156"/>
    <mergeCell ref="C157:E157"/>
    <mergeCell ref="C158:E158"/>
    <mergeCell ref="C148:E148"/>
    <mergeCell ref="C149:E149"/>
    <mergeCell ref="C150:E150"/>
    <mergeCell ref="C151:E151"/>
    <mergeCell ref="C152:E152"/>
    <mergeCell ref="C164:E164"/>
    <mergeCell ref="C165:E165"/>
    <mergeCell ref="C166:E166"/>
    <mergeCell ref="B48:E48"/>
    <mergeCell ref="B49:E49"/>
    <mergeCell ref="B50:E50"/>
    <mergeCell ref="C159:E159"/>
    <mergeCell ref="C160:E160"/>
    <mergeCell ref="C161:E161"/>
    <mergeCell ref="C163:E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2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 outlineLevelRow="1"/>
  <cols>
    <col min="1" max="1" width="4.421875" style="5" customWidth="1"/>
    <col min="2" max="2" width="48.57421875" style="2" customWidth="1"/>
    <col min="3" max="3" width="18.140625" style="2" customWidth="1"/>
    <col min="4" max="4" width="20.00390625" style="2" customWidth="1"/>
    <col min="5" max="5" width="12.8515625" style="2" customWidth="1"/>
    <col min="6" max="6" width="10.140625" style="2" customWidth="1"/>
    <col min="7" max="7" width="11.421875" style="2" customWidth="1"/>
    <col min="8" max="8" width="11.00390625" style="2" customWidth="1"/>
    <col min="9" max="16384" width="9.140625" style="2" customWidth="1"/>
  </cols>
  <sheetData>
    <row r="1" spans="5:7" ht="19.5" customHeight="1">
      <c r="E1" s="6"/>
      <c r="G1" s="18"/>
    </row>
    <row r="2" spans="1:4" ht="11.25" customHeight="1">
      <c r="A2" s="236" t="s">
        <v>21</v>
      </c>
      <c r="B2" s="236"/>
      <c r="C2" s="236"/>
      <c r="D2" s="3"/>
    </row>
    <row r="3" spans="1:4" ht="15.75">
      <c r="A3" s="139"/>
      <c r="B3" s="139"/>
      <c r="C3" s="139"/>
      <c r="D3" s="139"/>
    </row>
    <row r="4" spans="1:4" s="5" customFormat="1" ht="31.5">
      <c r="A4" s="11" t="s">
        <v>35</v>
      </c>
      <c r="B4" s="99" t="s">
        <v>30</v>
      </c>
      <c r="C4" s="99" t="s">
        <v>320</v>
      </c>
      <c r="D4" s="114" t="s">
        <v>321</v>
      </c>
    </row>
    <row r="5" spans="1:5" ht="15.75" customHeight="1">
      <c r="A5" s="37"/>
      <c r="B5" s="38" t="s">
        <v>324</v>
      </c>
      <c r="C5" s="42">
        <v>45358.31</v>
      </c>
      <c r="D5" s="44"/>
      <c r="E5" s="14"/>
    </row>
    <row r="6" spans="1:5" ht="15.75" customHeight="1">
      <c r="A6" s="37">
        <v>1</v>
      </c>
      <c r="B6" s="38" t="s">
        <v>84</v>
      </c>
      <c r="C6" s="42">
        <f>C7+C8+C9+C10</f>
        <v>256880</v>
      </c>
      <c r="D6" s="44">
        <f>D7+D8+D9+D10</f>
        <v>293863.94</v>
      </c>
      <c r="E6" s="14"/>
    </row>
    <row r="7" spans="1:5" ht="18" customHeight="1">
      <c r="A7" s="37">
        <v>2</v>
      </c>
      <c r="B7" s="24" t="s">
        <v>86</v>
      </c>
      <c r="C7" s="43">
        <v>106880</v>
      </c>
      <c r="D7" s="113">
        <v>106880</v>
      </c>
      <c r="E7" s="6"/>
    </row>
    <row r="8" spans="1:8" ht="18" customHeight="1">
      <c r="A8" s="37">
        <v>3</v>
      </c>
      <c r="B8" s="24" t="s">
        <v>88</v>
      </c>
      <c r="C8" s="43">
        <v>120000</v>
      </c>
      <c r="D8" s="113">
        <v>165000</v>
      </c>
      <c r="E8" s="6"/>
      <c r="G8" s="12"/>
      <c r="H8" s="118"/>
    </row>
    <row r="9" spans="1:8" ht="18" customHeight="1">
      <c r="A9" s="37">
        <v>4</v>
      </c>
      <c r="B9" s="24" t="s">
        <v>90</v>
      </c>
      <c r="C9" s="43">
        <v>25000</v>
      </c>
      <c r="D9" s="113">
        <v>16983.94</v>
      </c>
      <c r="E9" s="82"/>
      <c r="H9" s="77">
        <f>D6+D32</f>
        <v>404191</v>
      </c>
    </row>
    <row r="10" spans="1:5" ht="18" customHeight="1">
      <c r="A10" s="37">
        <v>5</v>
      </c>
      <c r="B10" s="24" t="s">
        <v>311</v>
      </c>
      <c r="C10" s="43">
        <v>5000</v>
      </c>
      <c r="D10" s="113">
        <v>5000</v>
      </c>
      <c r="E10" s="6"/>
    </row>
    <row r="11" spans="1:5" ht="31.5" customHeight="1">
      <c r="A11" s="37">
        <v>6</v>
      </c>
      <c r="B11" s="40" t="s">
        <v>97</v>
      </c>
      <c r="C11" s="42">
        <v>60015</v>
      </c>
      <c r="D11" s="44">
        <v>57936</v>
      </c>
      <c r="E11" s="83"/>
    </row>
    <row r="12" spans="1:5" ht="16.5" customHeight="1">
      <c r="A12" s="37">
        <v>7</v>
      </c>
      <c r="B12" s="38" t="s">
        <v>110</v>
      </c>
      <c r="C12" s="42">
        <f>C13+C14+C15</f>
        <v>218009</v>
      </c>
      <c r="D12" s="44">
        <f>D13+D15</f>
        <v>182303.9</v>
      </c>
      <c r="E12" s="6"/>
    </row>
    <row r="13" spans="1:5" ht="30" customHeight="1">
      <c r="A13" s="37">
        <v>8</v>
      </c>
      <c r="B13" s="26" t="s">
        <v>99</v>
      </c>
      <c r="C13" s="43">
        <v>88009</v>
      </c>
      <c r="D13" s="113">
        <v>62676</v>
      </c>
      <c r="E13" s="6"/>
    </row>
    <row r="14" spans="1:5" ht="16.5" customHeight="1">
      <c r="A14" s="37">
        <v>9</v>
      </c>
      <c r="B14" s="24" t="s">
        <v>312</v>
      </c>
      <c r="C14" s="43">
        <v>10000</v>
      </c>
      <c r="D14" s="113">
        <v>0</v>
      </c>
      <c r="E14" s="6"/>
    </row>
    <row r="15" spans="1:5" ht="16.5" customHeight="1">
      <c r="A15" s="37">
        <v>10</v>
      </c>
      <c r="B15" s="24" t="s">
        <v>313</v>
      </c>
      <c r="C15" s="43">
        <v>120000</v>
      </c>
      <c r="D15" s="113">
        <v>119627.9</v>
      </c>
      <c r="E15" s="6"/>
    </row>
    <row r="16" spans="1:5" ht="17.25" customHeight="1">
      <c r="A16" s="37">
        <v>11</v>
      </c>
      <c r="B16" s="38" t="s">
        <v>102</v>
      </c>
      <c r="C16" s="42">
        <v>8000</v>
      </c>
      <c r="D16" s="44">
        <v>5372</v>
      </c>
      <c r="E16" s="6"/>
    </row>
    <row r="17" spans="1:5" ht="33" customHeight="1">
      <c r="A17" s="37">
        <v>12</v>
      </c>
      <c r="B17" s="40" t="s">
        <v>109</v>
      </c>
      <c r="C17" s="42">
        <f>SUM(C18:C23)</f>
        <v>50387.16</v>
      </c>
      <c r="D17" s="44">
        <f>D18+D20+D21+D22+D23</f>
        <v>131637.96</v>
      </c>
      <c r="E17" s="6"/>
    </row>
    <row r="18" spans="1:7" s="15" customFormat="1" ht="18.75" customHeight="1">
      <c r="A18" s="37">
        <v>13</v>
      </c>
      <c r="B18" s="24" t="s">
        <v>103</v>
      </c>
      <c r="C18" s="43">
        <v>11000</v>
      </c>
      <c r="D18" s="113">
        <v>10728.96</v>
      </c>
      <c r="E18" s="3"/>
      <c r="G18" s="2"/>
    </row>
    <row r="19" spans="1:4" ht="15.75" customHeight="1">
      <c r="A19" s="37">
        <v>14</v>
      </c>
      <c r="B19" s="24" t="s">
        <v>314</v>
      </c>
      <c r="C19" s="43">
        <f>5000</f>
        <v>5000</v>
      </c>
      <c r="D19" s="113">
        <v>0</v>
      </c>
    </row>
    <row r="20" spans="1:4" ht="18" customHeight="1">
      <c r="A20" s="37">
        <v>15</v>
      </c>
      <c r="B20" s="24" t="s">
        <v>315</v>
      </c>
      <c r="C20" s="43">
        <v>12000</v>
      </c>
      <c r="D20" s="113">
        <v>37603</v>
      </c>
    </row>
    <row r="21" spans="1:4" ht="15.75">
      <c r="A21" s="37">
        <v>16</v>
      </c>
      <c r="B21" s="24" t="s">
        <v>316</v>
      </c>
      <c r="C21" s="43">
        <v>5934.46</v>
      </c>
      <c r="D21" s="113">
        <v>5949</v>
      </c>
    </row>
    <row r="22" spans="1:4" ht="15.75">
      <c r="A22" s="37">
        <v>17</v>
      </c>
      <c r="B22" s="24" t="s">
        <v>317</v>
      </c>
      <c r="C22" s="43">
        <v>11452.7</v>
      </c>
      <c r="D22" s="113">
        <f>21381+654</f>
        <v>22035</v>
      </c>
    </row>
    <row r="23" spans="1:4" ht="15.75">
      <c r="A23" s="37">
        <v>18</v>
      </c>
      <c r="B23" s="24" t="s">
        <v>104</v>
      </c>
      <c r="C23" s="43">
        <v>5000</v>
      </c>
      <c r="D23" s="113">
        <f>52202+1606+1514</f>
        <v>55322</v>
      </c>
    </row>
    <row r="24" spans="1:4" ht="33" customHeight="1">
      <c r="A24" s="37">
        <v>19</v>
      </c>
      <c r="B24" s="40" t="s">
        <v>318</v>
      </c>
      <c r="C24" s="42">
        <f>C26+C27</f>
        <v>12000</v>
      </c>
      <c r="D24" s="44">
        <f>D26+D27</f>
        <v>2990.29</v>
      </c>
    </row>
    <row r="25" spans="1:4" ht="16.5" customHeight="1" hidden="1" outlineLevel="1">
      <c r="A25" s="37">
        <v>20</v>
      </c>
      <c r="B25" s="26" t="s">
        <v>112</v>
      </c>
      <c r="C25" s="43">
        <v>4000</v>
      </c>
      <c r="D25" s="113"/>
    </row>
    <row r="26" spans="1:4" ht="18" customHeight="1" collapsed="1">
      <c r="A26" s="37">
        <v>21</v>
      </c>
      <c r="B26" s="24" t="s">
        <v>319</v>
      </c>
      <c r="C26" s="43">
        <v>10000</v>
      </c>
      <c r="D26" s="113">
        <v>0</v>
      </c>
    </row>
    <row r="27" spans="1:4" ht="15.75">
      <c r="A27" s="37">
        <v>22</v>
      </c>
      <c r="B27" s="24" t="s">
        <v>112</v>
      </c>
      <c r="C27" s="43">
        <v>2000</v>
      </c>
      <c r="D27" s="113">
        <v>2990.29</v>
      </c>
    </row>
    <row r="28" spans="1:4" ht="15.75">
      <c r="A28" s="37">
        <v>23</v>
      </c>
      <c r="B28" s="38" t="s">
        <v>107</v>
      </c>
      <c r="C28" s="42">
        <v>67171.2</v>
      </c>
      <c r="D28" s="44">
        <v>71171.2</v>
      </c>
    </row>
    <row r="29" spans="1:4" ht="30.75" customHeight="1">
      <c r="A29" s="37">
        <v>25</v>
      </c>
      <c r="B29" s="38" t="s">
        <v>117</v>
      </c>
      <c r="C29" s="42">
        <v>20000</v>
      </c>
      <c r="D29" s="44">
        <v>10200</v>
      </c>
    </row>
    <row r="30" spans="1:6" ht="29.25" customHeight="1">
      <c r="A30" s="37">
        <v>26</v>
      </c>
      <c r="B30" s="40" t="s">
        <v>119</v>
      </c>
      <c r="C30" s="42">
        <v>19200</v>
      </c>
      <c r="D30" s="44">
        <v>19200</v>
      </c>
      <c r="F30" s="18"/>
    </row>
    <row r="31" spans="1:6" ht="15.75" customHeight="1">
      <c r="A31" s="37">
        <v>27</v>
      </c>
      <c r="B31" s="38" t="s">
        <v>121</v>
      </c>
      <c r="C31" s="42">
        <v>10000</v>
      </c>
      <c r="D31" s="44">
        <v>0</v>
      </c>
      <c r="F31" s="18"/>
    </row>
    <row r="32" spans="1:4" ht="15.75" customHeight="1">
      <c r="A32" s="37">
        <v>28</v>
      </c>
      <c r="B32" s="38" t="s">
        <v>123</v>
      </c>
      <c r="C32" s="42">
        <v>104311</v>
      </c>
      <c r="D32" s="44">
        <v>110327.06</v>
      </c>
    </row>
    <row r="33" spans="1:4" ht="15.75" customHeight="1">
      <c r="A33" s="37">
        <v>29</v>
      </c>
      <c r="B33" s="38" t="s">
        <v>325</v>
      </c>
      <c r="C33" s="42">
        <v>0</v>
      </c>
      <c r="D33" s="44">
        <v>86204.1</v>
      </c>
    </row>
    <row r="34" spans="1:4" ht="15.75" customHeight="1">
      <c r="A34" s="213" t="s">
        <v>144</v>
      </c>
      <c r="B34" s="213"/>
      <c r="C34" s="42">
        <f>C6+C11+C12+C16+C17+C24+C28+C29+C30+C31+C32</f>
        <v>825973.36</v>
      </c>
      <c r="D34" s="44">
        <f>D6+D11+D12+D16+D17+D24+D28+D29+D30+D32+D33</f>
        <v>971206.4499999998</v>
      </c>
    </row>
    <row r="35" spans="1:4" ht="15.75" customHeight="1">
      <c r="A35" s="11"/>
      <c r="B35" s="133"/>
      <c r="C35" s="134"/>
      <c r="D35" s="134"/>
    </row>
    <row r="36" spans="1:4" ht="15.75">
      <c r="A36" s="94" t="s">
        <v>310</v>
      </c>
      <c r="B36" s="94"/>
      <c r="C36" s="94"/>
      <c r="D36" s="17">
        <f>'2015 стд'!D6+'2015 стд'!D12-'2015нестд2'!D34</f>
        <v>-8149.639999999781</v>
      </c>
    </row>
    <row r="37" spans="1:4" ht="15.75">
      <c r="A37" s="128" t="s">
        <v>307</v>
      </c>
      <c r="B37" s="129"/>
      <c r="C37" s="130"/>
      <c r="D37" s="17">
        <f>'2015 стд'!F12</f>
        <v>102066.40000000002</v>
      </c>
    </row>
    <row r="38" spans="1:4" ht="15.75">
      <c r="A38" s="11"/>
      <c r="B38" s="133"/>
      <c r="C38" s="134"/>
      <c r="D38" s="134"/>
    </row>
    <row r="39" spans="1:4" ht="15.75">
      <c r="A39" s="11"/>
      <c r="B39" s="133" t="s">
        <v>322</v>
      </c>
      <c r="C39" s="134"/>
      <c r="D39" s="134"/>
    </row>
    <row r="40" spans="1:4" ht="15.75" customHeight="1">
      <c r="A40" s="11"/>
      <c r="B40" s="133"/>
      <c r="C40" s="134"/>
      <c r="D40" s="134"/>
    </row>
    <row r="41" spans="1:4" ht="15.75">
      <c r="A41" s="11"/>
      <c r="B41" s="133"/>
      <c r="C41" s="134"/>
      <c r="D41" s="134"/>
    </row>
    <row r="42" spans="1:4" ht="15.75" customHeight="1">
      <c r="A42" s="11"/>
      <c r="B42" s="133"/>
      <c r="C42" s="134"/>
      <c r="D42" s="134"/>
    </row>
    <row r="43" spans="1:4" ht="30" customHeight="1">
      <c r="A43" s="11"/>
      <c r="B43" s="137"/>
      <c r="C43" s="138"/>
      <c r="D43" s="138"/>
    </row>
    <row r="44" spans="1:4" ht="30" customHeight="1">
      <c r="A44" s="11"/>
      <c r="B44" s="137"/>
      <c r="C44" s="138"/>
      <c r="D44" s="138"/>
    </row>
    <row r="45" spans="1:4" ht="30" customHeight="1">
      <c r="A45" s="11"/>
      <c r="B45" s="137"/>
      <c r="C45" s="138"/>
      <c r="D45" s="138"/>
    </row>
    <row r="46" spans="1:4" ht="27" customHeight="1">
      <c r="A46" s="11"/>
      <c r="B46" s="137"/>
      <c r="C46" s="138"/>
      <c r="D46" s="138"/>
    </row>
    <row r="47" spans="1:4" ht="30" customHeight="1">
      <c r="A47" s="99"/>
      <c r="B47" s="135"/>
      <c r="C47" s="136"/>
      <c r="D47" s="136"/>
    </row>
    <row r="48" spans="1:4" ht="30" customHeight="1">
      <c r="A48" s="1"/>
      <c r="B48" s="10"/>
      <c r="C48" s="10"/>
      <c r="D48" s="10"/>
    </row>
    <row r="49" spans="1:4" ht="31.5" customHeight="1">
      <c r="A49" s="94"/>
      <c r="B49" s="94"/>
      <c r="C49" s="94"/>
      <c r="D49" s="94"/>
    </row>
    <row r="50" spans="1:4" ht="15.75" customHeight="1">
      <c r="A50" s="128"/>
      <c r="B50" s="129"/>
      <c r="C50" s="129"/>
      <c r="D50" s="129"/>
    </row>
    <row r="51" spans="1:4" ht="31.5" customHeight="1">
      <c r="A51" s="131"/>
      <c r="B51" s="132"/>
      <c r="C51" s="132"/>
      <c r="D51" s="132"/>
    </row>
    <row r="52" ht="30" customHeight="1"/>
    <row r="53" ht="30" customHeight="1"/>
    <row r="54" spans="1:4" s="50" customFormat="1" ht="15" customHeight="1">
      <c r="A54" s="16"/>
      <c r="B54" s="16"/>
      <c r="C54" s="122"/>
      <c r="D54" s="123"/>
    </row>
    <row r="55" spans="1:4" s="50" customFormat="1" ht="15" customHeight="1">
      <c r="A55" s="47"/>
      <c r="B55" s="48"/>
      <c r="C55" s="88"/>
      <c r="D55" s="89"/>
    </row>
    <row r="56" spans="1:4" s="50" customFormat="1" ht="15" customHeight="1">
      <c r="A56" s="47"/>
      <c r="B56" s="48"/>
      <c r="C56" s="88"/>
      <c r="D56" s="89"/>
    </row>
    <row r="57" spans="1:4" s="50" customFormat="1" ht="15" customHeight="1">
      <c r="A57" s="47"/>
      <c r="B57" s="48"/>
      <c r="C57" s="88"/>
      <c r="D57" s="89"/>
    </row>
    <row r="58" spans="1:4" s="50" customFormat="1" ht="15" customHeight="1">
      <c r="A58" s="47"/>
      <c r="B58" s="48"/>
      <c r="C58" s="88"/>
      <c r="D58" s="89"/>
    </row>
    <row r="59" spans="1:4" s="50" customFormat="1" ht="32.25" customHeight="1">
      <c r="A59" s="47"/>
      <c r="B59" s="48"/>
      <c r="C59" s="88"/>
      <c r="D59" s="89"/>
    </row>
    <row r="60" spans="1:4" s="50" customFormat="1" ht="15" customHeight="1">
      <c r="A60" s="47"/>
      <c r="B60" s="48"/>
      <c r="C60" s="88"/>
      <c r="D60" s="89"/>
    </row>
    <row r="61" spans="1:4" s="50" customFormat="1" ht="27" customHeight="1">
      <c r="A61" s="47"/>
      <c r="B61" s="48"/>
      <c r="C61" s="88"/>
      <c r="D61" s="89"/>
    </row>
    <row r="62" spans="1:4" s="50" customFormat="1" ht="30.75" customHeight="1">
      <c r="A62" s="47"/>
      <c r="B62" s="48"/>
      <c r="C62" s="88"/>
      <c r="D62" s="89"/>
    </row>
    <row r="63" spans="1:4" s="15" customFormat="1" ht="15.75" customHeight="1">
      <c r="A63" s="47"/>
      <c r="B63" s="48"/>
      <c r="C63" s="86"/>
      <c r="D63" s="87"/>
    </row>
    <row r="64" spans="1:4" s="50" customFormat="1" ht="15" customHeight="1">
      <c r="A64" s="47"/>
      <c r="B64" s="48"/>
      <c r="C64" s="86"/>
      <c r="D64" s="87"/>
    </row>
    <row r="65" spans="1:4" s="50" customFormat="1" ht="15" customHeight="1">
      <c r="A65" s="47"/>
      <c r="B65" s="48"/>
      <c r="C65" s="86"/>
      <c r="D65" s="87"/>
    </row>
    <row r="66" spans="1:4" s="50" customFormat="1" ht="15" customHeight="1">
      <c r="A66" s="47"/>
      <c r="B66" s="48"/>
      <c r="C66" s="126"/>
      <c r="D66" s="127"/>
    </row>
    <row r="67" spans="1:4" ht="30.75" customHeight="1">
      <c r="A67" s="47"/>
      <c r="B67" s="48"/>
      <c r="C67" s="126"/>
      <c r="D67" s="127"/>
    </row>
    <row r="68" spans="1:4" s="15" customFormat="1" ht="15.75" customHeight="1">
      <c r="A68" s="47"/>
      <c r="B68" s="48"/>
      <c r="C68" s="126"/>
      <c r="D68" s="127"/>
    </row>
    <row r="69" spans="1:4" s="50" customFormat="1" ht="30.75" customHeight="1">
      <c r="A69" s="47"/>
      <c r="B69" s="48"/>
      <c r="C69" s="126"/>
      <c r="D69" s="127"/>
    </row>
    <row r="70" spans="1:4" s="50" customFormat="1" ht="15" customHeight="1">
      <c r="A70" s="47"/>
      <c r="B70" s="48"/>
      <c r="C70" s="90"/>
      <c r="D70" s="91"/>
    </row>
    <row r="71" spans="1:4" s="15" customFormat="1" ht="15.75">
      <c r="A71" s="47"/>
      <c r="B71" s="48"/>
      <c r="C71" s="126"/>
      <c r="D71" s="127"/>
    </row>
    <row r="72" spans="1:4" ht="15.75">
      <c r="A72" s="47"/>
      <c r="B72" s="48"/>
      <c r="C72" s="90"/>
      <c r="D72" s="91"/>
    </row>
    <row r="73" spans="1:4" ht="15.75">
      <c r="A73" s="47"/>
      <c r="B73" s="48"/>
      <c r="C73" s="86"/>
      <c r="D73" s="87"/>
    </row>
    <row r="74" spans="1:4" ht="15.75">
      <c r="A74" s="47"/>
      <c r="B74" s="48"/>
      <c r="C74" s="86"/>
      <c r="D74" s="87"/>
    </row>
    <row r="75" spans="1:4" ht="15.75">
      <c r="A75" s="47"/>
      <c r="B75" s="48"/>
      <c r="C75" s="86"/>
      <c r="D75" s="87"/>
    </row>
    <row r="76" spans="1:4" ht="15.75">
      <c r="A76" s="47"/>
      <c r="B76" s="48"/>
      <c r="C76" s="86"/>
      <c r="D76" s="87"/>
    </row>
    <row r="77" spans="1:4" ht="15.75">
      <c r="A77" s="47"/>
      <c r="B77" s="48"/>
      <c r="C77" s="86"/>
      <c r="D77" s="87"/>
    </row>
    <row r="78" spans="1:4" ht="15.75">
      <c r="A78" s="47"/>
      <c r="B78" s="48"/>
      <c r="C78" s="86"/>
      <c r="D78" s="87"/>
    </row>
    <row r="79" spans="1:4" ht="15.75">
      <c r="A79" s="47"/>
      <c r="B79" s="48"/>
      <c r="C79" s="86"/>
      <c r="D79" s="87"/>
    </row>
    <row r="80" spans="1:4" ht="15.75">
      <c r="A80" s="47"/>
      <c r="B80" s="48"/>
      <c r="C80" s="88"/>
      <c r="D80" s="89"/>
    </row>
    <row r="81" spans="1:4" ht="15.75">
      <c r="A81" s="47"/>
      <c r="B81" s="48"/>
      <c r="C81" s="88"/>
      <c r="D81" s="89"/>
    </row>
    <row r="82" spans="1:4" ht="15.75">
      <c r="A82" s="47"/>
      <c r="B82" s="48"/>
      <c r="C82" s="88"/>
      <c r="D82" s="89"/>
    </row>
    <row r="83" spans="1:4" ht="15.75">
      <c r="A83" s="47"/>
      <c r="B83" s="48"/>
      <c r="C83" s="88"/>
      <c r="D83" s="89"/>
    </row>
    <row r="84" spans="1:4" ht="15.75">
      <c r="A84" s="47"/>
      <c r="B84" s="48"/>
      <c r="C84" s="88"/>
      <c r="D84" s="89"/>
    </row>
    <row r="85" spans="1:4" ht="15.75">
      <c r="A85" s="47"/>
      <c r="B85" s="48"/>
      <c r="C85" s="88"/>
      <c r="D85" s="89"/>
    </row>
    <row r="86" spans="1:4" ht="15.75">
      <c r="A86" s="47"/>
      <c r="B86" s="48"/>
      <c r="C86" s="88"/>
      <c r="D86" s="89"/>
    </row>
    <row r="87" spans="1:4" ht="15.75">
      <c r="A87" s="47"/>
      <c r="B87" s="48"/>
      <c r="C87" s="88"/>
      <c r="D87" s="89"/>
    </row>
    <row r="88" spans="1:4" ht="15.75">
      <c r="A88" s="47"/>
      <c r="B88" s="48"/>
      <c r="C88" s="88"/>
      <c r="D88" s="89"/>
    </row>
    <row r="89" spans="1:4" ht="15.75">
      <c r="A89" s="47"/>
      <c r="B89" s="48"/>
      <c r="C89" s="88"/>
      <c r="D89" s="89"/>
    </row>
    <row r="90" spans="1:4" ht="15.75">
      <c r="A90" s="47"/>
      <c r="B90" s="48"/>
      <c r="C90" s="88"/>
      <c r="D90" s="89"/>
    </row>
    <row r="91" spans="1:4" ht="15.75">
      <c r="A91" s="47"/>
      <c r="B91" s="48"/>
      <c r="C91" s="88"/>
      <c r="D91" s="89"/>
    </row>
    <row r="92" spans="1:4" ht="15.75">
      <c r="A92" s="47"/>
      <c r="B92" s="48"/>
      <c r="C92" s="88"/>
      <c r="D92" s="89"/>
    </row>
    <row r="93" spans="1:4" ht="15.75">
      <c r="A93" s="47"/>
      <c r="B93" s="48"/>
      <c r="C93" s="88"/>
      <c r="D93" s="89"/>
    </row>
    <row r="94" spans="1:4" ht="15.75">
      <c r="A94" s="47"/>
      <c r="B94" s="48"/>
      <c r="C94" s="88"/>
      <c r="D94" s="89"/>
    </row>
    <row r="95" spans="1:4" ht="15.75">
      <c r="A95" s="47"/>
      <c r="B95" s="48"/>
      <c r="C95" s="88"/>
      <c r="D95" s="89"/>
    </row>
    <row r="96" spans="1:4" ht="15.75">
      <c r="A96" s="47"/>
      <c r="B96" s="48"/>
      <c r="C96" s="86"/>
      <c r="D96" s="87"/>
    </row>
    <row r="97" spans="1:4" ht="15.75">
      <c r="A97" s="47"/>
      <c r="B97" s="48"/>
      <c r="C97" s="86"/>
      <c r="D97" s="87"/>
    </row>
    <row r="98" spans="1:4" ht="15.75">
      <c r="A98" s="47"/>
      <c r="B98" s="48"/>
      <c r="C98" s="86"/>
      <c r="D98" s="87"/>
    </row>
    <row r="99" spans="1:4" ht="15.75">
      <c r="A99" s="47"/>
      <c r="B99" s="48"/>
      <c r="C99" s="88"/>
      <c r="D99" s="89"/>
    </row>
    <row r="100" spans="1:4" ht="15.75">
      <c r="A100" s="47"/>
      <c r="B100" s="48"/>
      <c r="C100" s="88"/>
      <c r="D100" s="89"/>
    </row>
    <row r="101" spans="1:4" ht="15.75">
      <c r="A101" s="47"/>
      <c r="B101" s="48"/>
      <c r="C101" s="86"/>
      <c r="D101" s="87"/>
    </row>
    <row r="102" spans="1:4" ht="15.75">
      <c r="A102" s="124"/>
      <c r="B102" s="125"/>
      <c r="C102" s="125"/>
      <c r="D102" s="125"/>
    </row>
  </sheetData>
  <sheetProtection selectLockedCells="1" selectUnlockedCells="1"/>
  <mergeCells count="2">
    <mergeCell ref="A2:C2"/>
    <mergeCell ref="A34:B34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2"/>
  <sheetViews>
    <sheetView view="pageBreakPreview" zoomScale="85" zoomScaleNormal="80" zoomScaleSheetLayoutView="85" workbookViewId="0" topLeftCell="A2">
      <selection activeCell="E16" sqref="E16"/>
    </sheetView>
  </sheetViews>
  <sheetFormatPr defaultColWidth="9.140625" defaultRowHeight="12.75"/>
  <cols>
    <col min="1" max="1" width="14.14062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289" t="s">
        <v>157</v>
      </c>
      <c r="B1" s="289"/>
      <c r="C1" s="289"/>
      <c r="D1" s="289"/>
      <c r="E1" s="289"/>
    </row>
    <row r="2" spans="1:5" ht="18.75">
      <c r="A2" s="289" t="s">
        <v>158</v>
      </c>
      <c r="B2" s="289"/>
      <c r="C2" s="289"/>
      <c r="D2" s="289"/>
      <c r="E2" s="289"/>
    </row>
    <row r="3" ht="18.75">
      <c r="A3" s="53"/>
    </row>
    <row r="4" ht="18.75">
      <c r="A4" s="54" t="s">
        <v>159</v>
      </c>
    </row>
    <row r="5" ht="18.75">
      <c r="A5" s="54"/>
    </row>
    <row r="6" ht="18.75">
      <c r="A6" s="54" t="s">
        <v>160</v>
      </c>
    </row>
    <row r="7" spans="1:5" ht="31.5">
      <c r="A7" s="46"/>
      <c r="B7" s="31" t="s">
        <v>161</v>
      </c>
      <c r="C7" s="31" t="s">
        <v>0</v>
      </c>
      <c r="D7" s="31" t="s">
        <v>162</v>
      </c>
      <c r="E7" s="31" t="s">
        <v>308</v>
      </c>
    </row>
    <row r="8" spans="1:5" ht="50.25" customHeight="1">
      <c r="A8" s="69" t="s">
        <v>1</v>
      </c>
      <c r="B8" s="21">
        <v>-107130.25</v>
      </c>
      <c r="C8" s="21">
        <v>831494.4</v>
      </c>
      <c r="D8" s="21">
        <v>828421.15</v>
      </c>
      <c r="E8" s="21">
        <f>B8-C8+D8</f>
        <v>-110203.5</v>
      </c>
    </row>
    <row r="9" spans="1:5" ht="15.75">
      <c r="A9" s="69" t="s">
        <v>2</v>
      </c>
      <c r="B9" s="70">
        <f>B8</f>
        <v>-107130.25</v>
      </c>
      <c r="C9" s="70">
        <v>831494.4</v>
      </c>
      <c r="D9" s="70">
        <f>D8</f>
        <v>828421.15</v>
      </c>
      <c r="E9" s="70">
        <f>E8</f>
        <v>-110203.5</v>
      </c>
    </row>
    <row r="10" ht="15">
      <c r="A10" s="55"/>
    </row>
    <row r="11" ht="15">
      <c r="A11" s="55"/>
    </row>
    <row r="12" ht="19.5" customHeight="1">
      <c r="A12" s="56" t="s">
        <v>163</v>
      </c>
    </row>
    <row r="13" spans="1:5" ht="18.75">
      <c r="A13" s="59" t="s">
        <v>164</v>
      </c>
      <c r="B13" s="286" t="s">
        <v>3</v>
      </c>
      <c r="C13" s="286"/>
      <c r="D13" s="286"/>
      <c r="E13" s="59" t="s">
        <v>9</v>
      </c>
    </row>
    <row r="14" spans="1:5" ht="18.75">
      <c r="A14" s="60">
        <v>1</v>
      </c>
      <c r="B14" s="283" t="s">
        <v>165</v>
      </c>
      <c r="C14" s="283"/>
      <c r="D14" s="283"/>
      <c r="E14" s="64">
        <v>120000</v>
      </c>
    </row>
    <row r="15" spans="1:5" ht="18.75">
      <c r="A15" s="60">
        <v>2</v>
      </c>
      <c r="B15" s="283" t="s">
        <v>103</v>
      </c>
      <c r="C15" s="283"/>
      <c r="D15" s="283"/>
      <c r="E15" s="64">
        <v>10207.8</v>
      </c>
    </row>
    <row r="16" spans="1:5" ht="18.75">
      <c r="A16" s="60">
        <v>3</v>
      </c>
      <c r="B16" s="283" t="s">
        <v>4</v>
      </c>
      <c r="C16" s="283"/>
      <c r="D16" s="283"/>
      <c r="E16" s="64">
        <f>104311+256880</f>
        <v>361191</v>
      </c>
    </row>
    <row r="17" spans="1:5" ht="18.75">
      <c r="A17" s="60">
        <v>4</v>
      </c>
      <c r="B17" s="283" t="s">
        <v>166</v>
      </c>
      <c r="C17" s="283"/>
      <c r="D17" s="283"/>
      <c r="E17" s="64">
        <v>88009.44</v>
      </c>
    </row>
    <row r="18" spans="1:5" ht="18.75">
      <c r="A18" s="60">
        <v>5</v>
      </c>
      <c r="B18" s="283" t="s">
        <v>167</v>
      </c>
      <c r="C18" s="283"/>
      <c r="D18" s="283"/>
      <c r="E18" s="64">
        <v>60015.36</v>
      </c>
    </row>
    <row r="19" spans="1:5" ht="18.75">
      <c r="A19" s="60">
        <v>6</v>
      </c>
      <c r="B19" s="283" t="s">
        <v>5</v>
      </c>
      <c r="C19" s="283"/>
      <c r="D19" s="283"/>
      <c r="E19" s="64">
        <v>220583.1</v>
      </c>
    </row>
    <row r="20" spans="1:5" ht="18.75">
      <c r="A20" s="60" t="s">
        <v>6</v>
      </c>
      <c r="B20" s="283" t="s">
        <v>168</v>
      </c>
      <c r="C20" s="283"/>
      <c r="D20" s="283"/>
      <c r="E20" s="64">
        <v>61171.2</v>
      </c>
    </row>
    <row r="21" spans="1:5" ht="18.75">
      <c r="A21" s="60" t="s">
        <v>6</v>
      </c>
      <c r="B21" s="283" t="s">
        <v>169</v>
      </c>
      <c r="C21" s="283"/>
      <c r="D21" s="283"/>
      <c r="E21" s="64">
        <v>5200</v>
      </c>
    </row>
    <row r="22" spans="1:5" ht="37.5" customHeight="1">
      <c r="A22" s="60" t="s">
        <v>6</v>
      </c>
      <c r="B22" s="283" t="s">
        <v>170</v>
      </c>
      <c r="C22" s="283"/>
      <c r="D22" s="283"/>
      <c r="E22" s="64">
        <v>37600</v>
      </c>
    </row>
    <row r="23" spans="1:5" ht="18.75">
      <c r="A23" s="60" t="s">
        <v>6</v>
      </c>
      <c r="B23" s="283" t="s">
        <v>171</v>
      </c>
      <c r="C23" s="283"/>
      <c r="D23" s="283"/>
      <c r="E23" s="64">
        <v>72510</v>
      </c>
    </row>
    <row r="24" spans="1:5" ht="18.75">
      <c r="A24" s="60" t="s">
        <v>6</v>
      </c>
      <c r="B24" s="283" t="s">
        <v>172</v>
      </c>
      <c r="C24" s="283"/>
      <c r="D24" s="283"/>
      <c r="E24" s="64">
        <v>26293</v>
      </c>
    </row>
    <row r="25" spans="1:5" ht="18.75">
      <c r="A25" s="60" t="s">
        <v>6</v>
      </c>
      <c r="B25" s="283" t="s">
        <v>173</v>
      </c>
      <c r="C25" s="283"/>
      <c r="D25" s="283"/>
      <c r="E25" s="64">
        <v>17808.9</v>
      </c>
    </row>
    <row r="26" spans="1:5" ht="18.75">
      <c r="A26" s="60">
        <v>7</v>
      </c>
      <c r="B26" s="283" t="s">
        <v>174</v>
      </c>
      <c r="C26" s="283"/>
      <c r="D26" s="283"/>
      <c r="E26" s="64">
        <v>14911</v>
      </c>
    </row>
    <row r="27" spans="1:5" ht="18.75">
      <c r="A27" s="60">
        <v>8</v>
      </c>
      <c r="B27" s="283" t="s">
        <v>175</v>
      </c>
      <c r="C27" s="283"/>
      <c r="D27" s="283"/>
      <c r="E27" s="64">
        <v>1300</v>
      </c>
    </row>
    <row r="28" spans="1:5" ht="18.75">
      <c r="A28" s="61"/>
      <c r="B28" s="282" t="s">
        <v>176</v>
      </c>
      <c r="C28" s="282"/>
      <c r="D28" s="282"/>
      <c r="E28" s="65">
        <v>876217.7</v>
      </c>
    </row>
    <row r="29" spans="1:5" ht="15">
      <c r="A29" s="62"/>
      <c r="B29" s="63"/>
      <c r="C29" s="63"/>
      <c r="D29" s="63"/>
      <c r="E29" s="63"/>
    </row>
    <row r="30" spans="1:5" ht="18.75">
      <c r="A30" s="286" t="s">
        <v>177</v>
      </c>
      <c r="B30" s="286"/>
      <c r="C30" s="286"/>
      <c r="D30" s="286"/>
      <c r="E30" s="65">
        <f>90159.11+C9-E28</f>
        <v>45435.810000000056</v>
      </c>
    </row>
    <row r="31" ht="15">
      <c r="A31" s="55"/>
    </row>
    <row r="32" ht="15.75">
      <c r="A32" s="57" t="s">
        <v>178</v>
      </c>
    </row>
    <row r="33" ht="15">
      <c r="A33" s="55"/>
    </row>
    <row r="34" ht="15">
      <c r="A34" s="55"/>
    </row>
    <row r="35" ht="15">
      <c r="A35" s="55"/>
    </row>
    <row r="36" spans="1:5" ht="18.75">
      <c r="A36" s="287" t="s">
        <v>179</v>
      </c>
      <c r="B36" s="287"/>
      <c r="C36" s="287"/>
      <c r="D36" s="287"/>
      <c r="E36" s="287"/>
    </row>
    <row r="37" ht="15.75">
      <c r="A37" s="57"/>
    </row>
    <row r="38" spans="1:5" ht="15">
      <c r="A38" s="290"/>
      <c r="B38" s="290"/>
      <c r="C38" s="52"/>
      <c r="D38" s="52"/>
      <c r="E38" s="52"/>
    </row>
    <row r="39" spans="1:5" ht="15">
      <c r="A39" s="76" t="s">
        <v>8</v>
      </c>
      <c r="B39" s="288" t="s">
        <v>30</v>
      </c>
      <c r="C39" s="288"/>
      <c r="D39" s="288"/>
      <c r="E39" s="76" t="s">
        <v>180</v>
      </c>
    </row>
    <row r="40" spans="1:5" ht="15">
      <c r="A40" s="67">
        <v>41656</v>
      </c>
      <c r="B40" s="284" t="s">
        <v>181</v>
      </c>
      <c r="C40" s="284"/>
      <c r="D40" s="284"/>
      <c r="E40" s="71">
        <v>523</v>
      </c>
    </row>
    <row r="41" spans="1:5" ht="15">
      <c r="A41" s="67">
        <v>41663</v>
      </c>
      <c r="B41" s="284" t="s">
        <v>182</v>
      </c>
      <c r="C41" s="284"/>
      <c r="D41" s="284"/>
      <c r="E41" s="71">
        <v>589</v>
      </c>
    </row>
    <row r="42" spans="1:5" ht="15">
      <c r="A42" s="66" t="s">
        <v>183</v>
      </c>
      <c r="B42" s="284" t="s">
        <v>184</v>
      </c>
      <c r="C42" s="284"/>
      <c r="D42" s="284"/>
      <c r="E42" s="71">
        <v>553</v>
      </c>
    </row>
    <row r="43" spans="1:5" ht="15">
      <c r="A43" s="66" t="s">
        <v>185</v>
      </c>
      <c r="B43" s="285" t="s">
        <v>182</v>
      </c>
      <c r="C43" s="285"/>
      <c r="D43" s="285"/>
      <c r="E43" s="71">
        <v>2943</v>
      </c>
    </row>
    <row r="44" spans="1:5" ht="15">
      <c r="A44" s="66" t="s">
        <v>186</v>
      </c>
      <c r="B44" s="284" t="s">
        <v>182</v>
      </c>
      <c r="C44" s="284"/>
      <c r="D44" s="284"/>
      <c r="E44" s="71">
        <v>246</v>
      </c>
    </row>
    <row r="45" spans="1:5" ht="15">
      <c r="A45" s="66" t="s">
        <v>187</v>
      </c>
      <c r="B45" s="284" t="s">
        <v>188</v>
      </c>
      <c r="C45" s="284"/>
      <c r="D45" s="284"/>
      <c r="E45" s="71">
        <v>3768</v>
      </c>
    </row>
    <row r="46" spans="1:5" ht="15">
      <c r="A46" s="66" t="s">
        <v>189</v>
      </c>
      <c r="B46" s="285" t="s">
        <v>182</v>
      </c>
      <c r="C46" s="285"/>
      <c r="D46" s="285"/>
      <c r="E46" s="72">
        <v>2635</v>
      </c>
    </row>
    <row r="47" spans="1:5" ht="15">
      <c r="A47" s="66" t="s">
        <v>190</v>
      </c>
      <c r="B47" s="284" t="s">
        <v>191</v>
      </c>
      <c r="C47" s="284"/>
      <c r="D47" s="284"/>
      <c r="E47" s="71">
        <v>11439</v>
      </c>
    </row>
    <row r="48" spans="1:5" ht="15">
      <c r="A48" s="66" t="s">
        <v>190</v>
      </c>
      <c r="B48" s="284" t="s">
        <v>192</v>
      </c>
      <c r="C48" s="284"/>
      <c r="D48" s="284"/>
      <c r="E48" s="71">
        <v>379</v>
      </c>
    </row>
    <row r="49" spans="1:5" ht="15">
      <c r="A49" s="66" t="s">
        <v>193</v>
      </c>
      <c r="B49" s="284" t="s">
        <v>194</v>
      </c>
      <c r="C49" s="284"/>
      <c r="D49" s="284"/>
      <c r="E49" s="71">
        <v>9580</v>
      </c>
    </row>
    <row r="50" spans="1:5" ht="15">
      <c r="A50" s="66" t="s">
        <v>195</v>
      </c>
      <c r="B50" s="284" t="s">
        <v>196</v>
      </c>
      <c r="C50" s="284"/>
      <c r="D50" s="284"/>
      <c r="E50" s="71">
        <v>3695</v>
      </c>
    </row>
    <row r="51" spans="1:5" ht="15">
      <c r="A51" s="66" t="s">
        <v>195</v>
      </c>
      <c r="B51" s="284" t="s">
        <v>197</v>
      </c>
      <c r="C51" s="284"/>
      <c r="D51" s="284"/>
      <c r="E51" s="71">
        <v>4518</v>
      </c>
    </row>
    <row r="52" spans="1:5" ht="15">
      <c r="A52" s="66" t="s">
        <v>198</v>
      </c>
      <c r="B52" s="284" t="s">
        <v>191</v>
      </c>
      <c r="C52" s="284"/>
      <c r="D52" s="284"/>
      <c r="E52" s="71">
        <v>512</v>
      </c>
    </row>
    <row r="53" spans="1:5" ht="15">
      <c r="A53" s="66" t="s">
        <v>199</v>
      </c>
      <c r="B53" s="284" t="s">
        <v>191</v>
      </c>
      <c r="C53" s="284"/>
      <c r="D53" s="284"/>
      <c r="E53" s="71">
        <v>4809</v>
      </c>
    </row>
    <row r="54" spans="1:5" ht="15">
      <c r="A54" s="66" t="s">
        <v>200</v>
      </c>
      <c r="B54" s="284" t="s">
        <v>201</v>
      </c>
      <c r="C54" s="284"/>
      <c r="D54" s="284"/>
      <c r="E54" s="71">
        <v>1776</v>
      </c>
    </row>
    <row r="55" spans="1:5" ht="15">
      <c r="A55" s="66" t="s">
        <v>183</v>
      </c>
      <c r="B55" s="284" t="s">
        <v>202</v>
      </c>
      <c r="C55" s="284"/>
      <c r="D55" s="284"/>
      <c r="E55" s="71">
        <v>922</v>
      </c>
    </row>
    <row r="56" spans="1:5" ht="15">
      <c r="A56" s="66" t="s">
        <v>183</v>
      </c>
      <c r="B56" s="284" t="s">
        <v>202</v>
      </c>
      <c r="C56" s="284"/>
      <c r="D56" s="284"/>
      <c r="E56" s="71">
        <v>693</v>
      </c>
    </row>
    <row r="57" spans="1:5" ht="15">
      <c r="A57" s="66" t="s">
        <v>183</v>
      </c>
      <c r="B57" s="284" t="s">
        <v>203</v>
      </c>
      <c r="C57" s="284"/>
      <c r="D57" s="284"/>
      <c r="E57" s="71">
        <v>5116</v>
      </c>
    </row>
    <row r="58" spans="1:5" ht="15">
      <c r="A58" s="66" t="s">
        <v>183</v>
      </c>
      <c r="B58" s="284" t="s">
        <v>204</v>
      </c>
      <c r="C58" s="284"/>
      <c r="D58" s="284"/>
      <c r="E58" s="71">
        <v>2097</v>
      </c>
    </row>
    <row r="59" spans="1:5" ht="15">
      <c r="A59" s="66" t="s">
        <v>205</v>
      </c>
      <c r="B59" s="284" t="s">
        <v>206</v>
      </c>
      <c r="C59" s="284"/>
      <c r="D59" s="284"/>
      <c r="E59" s="71">
        <v>377</v>
      </c>
    </row>
    <row r="60" spans="1:5" ht="15">
      <c r="A60" s="66" t="s">
        <v>207</v>
      </c>
      <c r="B60" s="284" t="s">
        <v>208</v>
      </c>
      <c r="C60" s="284"/>
      <c r="D60" s="284"/>
      <c r="E60" s="71">
        <v>7969</v>
      </c>
    </row>
    <row r="61" spans="1:5" ht="15">
      <c r="A61" s="66" t="s">
        <v>209</v>
      </c>
      <c r="B61" s="284" t="s">
        <v>210</v>
      </c>
      <c r="C61" s="284"/>
      <c r="D61" s="284"/>
      <c r="E61" s="71">
        <v>800</v>
      </c>
    </row>
    <row r="62" spans="1:5" ht="15">
      <c r="A62" s="66" t="s">
        <v>209</v>
      </c>
      <c r="B62" s="284" t="s">
        <v>211</v>
      </c>
      <c r="C62" s="284"/>
      <c r="D62" s="284"/>
      <c r="E62" s="71">
        <v>800</v>
      </c>
    </row>
    <row r="63" spans="1:5" ht="15">
      <c r="A63" s="66" t="s">
        <v>212</v>
      </c>
      <c r="B63" s="284" t="s">
        <v>210</v>
      </c>
      <c r="C63" s="284"/>
      <c r="D63" s="284"/>
      <c r="E63" s="71">
        <v>800</v>
      </c>
    </row>
    <row r="64" spans="1:5" ht="15">
      <c r="A64" s="68">
        <v>25.102013</v>
      </c>
      <c r="B64" s="284" t="s">
        <v>211</v>
      </c>
      <c r="C64" s="284"/>
      <c r="D64" s="284"/>
      <c r="E64" s="71">
        <v>800</v>
      </c>
    </row>
    <row r="65" spans="1:5" ht="15">
      <c r="A65" s="68">
        <v>25.102013</v>
      </c>
      <c r="B65" s="284" t="s">
        <v>210</v>
      </c>
      <c r="C65" s="284"/>
      <c r="D65" s="284"/>
      <c r="E65" s="71">
        <v>800</v>
      </c>
    </row>
    <row r="66" spans="1:5" ht="15">
      <c r="A66" s="66" t="s">
        <v>213</v>
      </c>
      <c r="B66" s="284" t="s">
        <v>211</v>
      </c>
      <c r="C66" s="284"/>
      <c r="D66" s="284"/>
      <c r="E66" s="71">
        <v>800</v>
      </c>
    </row>
    <row r="67" spans="1:5" ht="15">
      <c r="A67" s="66" t="s">
        <v>213</v>
      </c>
      <c r="B67" s="284" t="s">
        <v>210</v>
      </c>
      <c r="C67" s="284"/>
      <c r="D67" s="284"/>
      <c r="E67" s="71">
        <v>800</v>
      </c>
    </row>
    <row r="68" spans="1:5" ht="15">
      <c r="A68" s="66" t="s">
        <v>214</v>
      </c>
      <c r="B68" s="284" t="s">
        <v>211</v>
      </c>
      <c r="C68" s="284"/>
      <c r="D68" s="284"/>
      <c r="E68" s="71">
        <v>800</v>
      </c>
    </row>
    <row r="69" spans="1:5" ht="15">
      <c r="A69" s="66" t="s">
        <v>214</v>
      </c>
      <c r="B69" s="284" t="s">
        <v>210</v>
      </c>
      <c r="C69" s="284"/>
      <c r="D69" s="284"/>
      <c r="E69" s="71">
        <v>800</v>
      </c>
    </row>
    <row r="70" spans="1:5" ht="15">
      <c r="A70" s="66" t="s">
        <v>215</v>
      </c>
      <c r="B70" s="284" t="s">
        <v>211</v>
      </c>
      <c r="C70" s="284"/>
      <c r="D70" s="284"/>
      <c r="E70" s="71">
        <v>800</v>
      </c>
    </row>
    <row r="71" spans="1:5" ht="15">
      <c r="A71" s="66" t="s">
        <v>215</v>
      </c>
      <c r="B71" s="284" t="s">
        <v>210</v>
      </c>
      <c r="C71" s="284"/>
      <c r="D71" s="284"/>
      <c r="E71" s="71">
        <v>800</v>
      </c>
    </row>
    <row r="72" spans="1:5" ht="15">
      <c r="A72" s="66" t="s">
        <v>216</v>
      </c>
      <c r="B72" s="284" t="s">
        <v>211</v>
      </c>
      <c r="C72" s="284"/>
      <c r="D72" s="284"/>
      <c r="E72" s="71">
        <v>800</v>
      </c>
    </row>
    <row r="73" spans="1:5" ht="15">
      <c r="A73" s="66" t="s">
        <v>216</v>
      </c>
      <c r="B73" s="284" t="s">
        <v>210</v>
      </c>
      <c r="C73" s="284"/>
      <c r="D73" s="284"/>
      <c r="E73" s="71">
        <v>800</v>
      </c>
    </row>
    <row r="74" spans="1:5" ht="15">
      <c r="A74" s="66" t="s">
        <v>217</v>
      </c>
      <c r="B74" s="284" t="s">
        <v>211</v>
      </c>
      <c r="C74" s="284"/>
      <c r="D74" s="284"/>
      <c r="E74" s="71">
        <v>800</v>
      </c>
    </row>
    <row r="75" spans="1:5" ht="15">
      <c r="A75" s="66" t="s">
        <v>217</v>
      </c>
      <c r="B75" s="284" t="s">
        <v>210</v>
      </c>
      <c r="C75" s="284"/>
      <c r="D75" s="284"/>
      <c r="E75" s="71">
        <v>800</v>
      </c>
    </row>
    <row r="76" spans="1:5" ht="15">
      <c r="A76" s="66" t="s">
        <v>218</v>
      </c>
      <c r="B76" s="284" t="s">
        <v>211</v>
      </c>
      <c r="C76" s="284"/>
      <c r="D76" s="284"/>
      <c r="E76" s="71">
        <v>800</v>
      </c>
    </row>
    <row r="77" spans="1:5" ht="15">
      <c r="A77" s="66" t="s">
        <v>218</v>
      </c>
      <c r="B77" s="284" t="s">
        <v>210</v>
      </c>
      <c r="C77" s="284"/>
      <c r="D77" s="284"/>
      <c r="E77" s="71">
        <v>800</v>
      </c>
    </row>
    <row r="78" spans="1:5" ht="15">
      <c r="A78" s="66" t="s">
        <v>219</v>
      </c>
      <c r="B78" s="284" t="s">
        <v>211</v>
      </c>
      <c r="C78" s="284"/>
      <c r="D78" s="284"/>
      <c r="E78" s="71">
        <v>800</v>
      </c>
    </row>
    <row r="79" spans="1:5" ht="15">
      <c r="A79" s="66" t="s">
        <v>219</v>
      </c>
      <c r="B79" s="284" t="s">
        <v>210</v>
      </c>
      <c r="C79" s="284"/>
      <c r="D79" s="284"/>
      <c r="E79" s="71">
        <v>800</v>
      </c>
    </row>
    <row r="80" spans="1:5" ht="15">
      <c r="A80" s="66" t="s">
        <v>220</v>
      </c>
      <c r="B80" s="284" t="s">
        <v>211</v>
      </c>
      <c r="C80" s="284"/>
      <c r="D80" s="284"/>
      <c r="E80" s="71">
        <v>800</v>
      </c>
    </row>
    <row r="81" spans="1:5" ht="15">
      <c r="A81" s="66" t="s">
        <v>220</v>
      </c>
      <c r="B81" s="284" t="s">
        <v>210</v>
      </c>
      <c r="C81" s="284"/>
      <c r="D81" s="284"/>
      <c r="E81" s="71">
        <v>800</v>
      </c>
    </row>
    <row r="82" spans="1:5" ht="15">
      <c r="A82" s="66" t="s">
        <v>221</v>
      </c>
      <c r="B82" s="284" t="s">
        <v>211</v>
      </c>
      <c r="C82" s="284"/>
      <c r="D82" s="284"/>
      <c r="E82" s="71">
        <v>800</v>
      </c>
    </row>
    <row r="83" spans="1:5" ht="15">
      <c r="A83" s="66" t="s">
        <v>221</v>
      </c>
      <c r="B83" s="284" t="s">
        <v>210</v>
      </c>
      <c r="C83" s="284"/>
      <c r="D83" s="284"/>
      <c r="E83" s="71">
        <v>800</v>
      </c>
    </row>
    <row r="84" spans="1:5" ht="15">
      <c r="A84" s="66" t="s">
        <v>222</v>
      </c>
      <c r="B84" s="284" t="s">
        <v>211</v>
      </c>
      <c r="C84" s="284"/>
      <c r="D84" s="284"/>
      <c r="E84" s="71">
        <v>800</v>
      </c>
    </row>
    <row r="85" spans="1:5" ht="15">
      <c r="A85" s="66" t="s">
        <v>222</v>
      </c>
      <c r="B85" s="284" t="s">
        <v>210</v>
      </c>
      <c r="C85" s="284"/>
      <c r="D85" s="284"/>
      <c r="E85" s="71">
        <v>800</v>
      </c>
    </row>
    <row r="86" spans="1:5" ht="15">
      <c r="A86" s="66" t="s">
        <v>223</v>
      </c>
      <c r="B86" s="284" t="s">
        <v>224</v>
      </c>
      <c r="C86" s="284"/>
      <c r="D86" s="284"/>
      <c r="E86" s="71">
        <v>5097.6</v>
      </c>
    </row>
    <row r="87" spans="1:5" ht="15">
      <c r="A87" s="66" t="s">
        <v>225</v>
      </c>
      <c r="B87" s="284" t="s">
        <v>226</v>
      </c>
      <c r="C87" s="284"/>
      <c r="D87" s="284"/>
      <c r="E87" s="71">
        <v>1436</v>
      </c>
    </row>
    <row r="88" spans="1:5" ht="15">
      <c r="A88" s="66" t="s">
        <v>227</v>
      </c>
      <c r="B88" s="284" t="s">
        <v>228</v>
      </c>
      <c r="C88" s="284"/>
      <c r="D88" s="284"/>
      <c r="E88" s="71">
        <v>1885</v>
      </c>
    </row>
    <row r="89" spans="1:5" ht="15">
      <c r="A89" s="66" t="s">
        <v>229</v>
      </c>
      <c r="B89" s="284" t="s">
        <v>230</v>
      </c>
      <c r="C89" s="284"/>
      <c r="D89" s="284"/>
      <c r="E89" s="71">
        <v>2748</v>
      </c>
    </row>
    <row r="90" spans="1:5" ht="15">
      <c r="A90" s="66" t="s">
        <v>231</v>
      </c>
      <c r="B90" s="284" t="s">
        <v>232</v>
      </c>
      <c r="C90" s="284"/>
      <c r="D90" s="284"/>
      <c r="E90" s="71">
        <v>524</v>
      </c>
    </row>
    <row r="91" spans="1:5" ht="15">
      <c r="A91" s="66" t="s">
        <v>233</v>
      </c>
      <c r="B91" s="284" t="s">
        <v>234</v>
      </c>
      <c r="C91" s="284"/>
      <c r="D91" s="284"/>
      <c r="E91" s="71">
        <v>1082</v>
      </c>
    </row>
    <row r="92" spans="1:5" ht="15">
      <c r="A92" s="66" t="s">
        <v>235</v>
      </c>
      <c r="B92" s="284" t="s">
        <v>236</v>
      </c>
      <c r="C92" s="284"/>
      <c r="D92" s="284"/>
      <c r="E92" s="71">
        <v>763</v>
      </c>
    </row>
    <row r="93" spans="1:5" ht="15">
      <c r="A93" s="66" t="s">
        <v>235</v>
      </c>
      <c r="B93" s="284" t="s">
        <v>236</v>
      </c>
      <c r="C93" s="284"/>
      <c r="D93" s="284"/>
      <c r="E93" s="71">
        <v>763</v>
      </c>
    </row>
    <row r="94" spans="1:5" ht="15">
      <c r="A94" s="66" t="s">
        <v>237</v>
      </c>
      <c r="B94" s="284" t="s">
        <v>238</v>
      </c>
      <c r="C94" s="284"/>
      <c r="D94" s="284"/>
      <c r="E94" s="71">
        <v>763</v>
      </c>
    </row>
    <row r="95" spans="1:5" ht="15">
      <c r="A95" s="66" t="s">
        <v>237</v>
      </c>
      <c r="B95" s="284" t="s">
        <v>238</v>
      </c>
      <c r="C95" s="284"/>
      <c r="D95" s="284"/>
      <c r="E95" s="71">
        <v>763</v>
      </c>
    </row>
    <row r="96" spans="1:5" ht="15">
      <c r="A96" s="66" t="s">
        <v>237</v>
      </c>
      <c r="B96" s="284" t="s">
        <v>236</v>
      </c>
      <c r="C96" s="284"/>
      <c r="D96" s="284"/>
      <c r="E96" s="71">
        <v>379</v>
      </c>
    </row>
    <row r="97" spans="1:5" ht="15">
      <c r="A97" s="66" t="s">
        <v>237</v>
      </c>
      <c r="B97" s="284" t="s">
        <v>236</v>
      </c>
      <c r="C97" s="284"/>
      <c r="D97" s="284"/>
      <c r="E97" s="71">
        <v>763</v>
      </c>
    </row>
    <row r="98" spans="1:5" ht="15">
      <c r="A98" s="66" t="s">
        <v>239</v>
      </c>
      <c r="B98" s="284" t="s">
        <v>240</v>
      </c>
      <c r="C98" s="284"/>
      <c r="D98" s="284"/>
      <c r="E98" s="71">
        <v>1378</v>
      </c>
    </row>
    <row r="99" spans="1:5" ht="15">
      <c r="A99" s="66" t="s">
        <v>241</v>
      </c>
      <c r="B99" s="284" t="s">
        <v>242</v>
      </c>
      <c r="C99" s="284"/>
      <c r="D99" s="284"/>
      <c r="E99" s="71">
        <v>3145</v>
      </c>
    </row>
    <row r="100" spans="1:5" ht="15">
      <c r="A100" s="66" t="s">
        <v>239</v>
      </c>
      <c r="B100" s="284" t="s">
        <v>243</v>
      </c>
      <c r="C100" s="284"/>
      <c r="D100" s="284"/>
      <c r="E100" s="71">
        <v>822</v>
      </c>
    </row>
    <row r="101" spans="1:5" ht="15">
      <c r="A101" s="66" t="s">
        <v>244</v>
      </c>
      <c r="B101" s="284" t="s">
        <v>59</v>
      </c>
      <c r="C101" s="284"/>
      <c r="D101" s="284"/>
      <c r="E101" s="71">
        <v>1571</v>
      </c>
    </row>
    <row r="102" spans="1:5" ht="15">
      <c r="A102" s="66" t="s">
        <v>245</v>
      </c>
      <c r="B102" s="284" t="s">
        <v>246</v>
      </c>
      <c r="C102" s="284"/>
      <c r="D102" s="284"/>
      <c r="E102" s="71">
        <v>1288</v>
      </c>
    </row>
    <row r="103" spans="1:5" ht="15">
      <c r="A103" s="66" t="s">
        <v>247</v>
      </c>
      <c r="B103" s="284" t="s">
        <v>246</v>
      </c>
      <c r="C103" s="284"/>
      <c r="D103" s="284"/>
      <c r="E103" s="71">
        <v>545</v>
      </c>
    </row>
    <row r="104" spans="1:5" ht="15">
      <c r="A104" s="66" t="s">
        <v>247</v>
      </c>
      <c r="B104" s="284" t="s">
        <v>248</v>
      </c>
      <c r="C104" s="284"/>
      <c r="D104" s="284"/>
      <c r="E104" s="71">
        <v>377</v>
      </c>
    </row>
    <row r="105" spans="1:5" ht="15">
      <c r="A105" s="66" t="s">
        <v>249</v>
      </c>
      <c r="B105" s="284" t="s">
        <v>250</v>
      </c>
      <c r="C105" s="284"/>
      <c r="D105" s="284"/>
      <c r="E105" s="71">
        <v>1509</v>
      </c>
    </row>
    <row r="106" spans="1:5" ht="15">
      <c r="A106" s="66" t="s">
        <v>249</v>
      </c>
      <c r="B106" s="284" t="s">
        <v>251</v>
      </c>
      <c r="C106" s="284"/>
      <c r="D106" s="284"/>
      <c r="E106" s="71">
        <v>1980</v>
      </c>
    </row>
    <row r="107" spans="1:5" ht="15">
      <c r="A107" s="66" t="s">
        <v>252</v>
      </c>
      <c r="B107" s="284" t="s">
        <v>251</v>
      </c>
      <c r="C107" s="284"/>
      <c r="D107" s="284"/>
      <c r="E107" s="71">
        <v>7111</v>
      </c>
    </row>
    <row r="108" spans="1:5" ht="15">
      <c r="A108" s="66" t="s">
        <v>253</v>
      </c>
      <c r="B108" s="284" t="s">
        <v>254</v>
      </c>
      <c r="C108" s="284"/>
      <c r="D108" s="284"/>
      <c r="E108" s="71">
        <v>2151</v>
      </c>
    </row>
    <row r="109" spans="1:5" ht="15">
      <c r="A109" s="66" t="s">
        <v>255</v>
      </c>
      <c r="B109" s="68" t="s">
        <v>246</v>
      </c>
      <c r="C109" s="68"/>
      <c r="D109" s="68"/>
      <c r="E109" s="71">
        <v>1372</v>
      </c>
    </row>
    <row r="110" spans="1:5" ht="15">
      <c r="A110" s="66" t="s">
        <v>256</v>
      </c>
      <c r="B110" s="284" t="s">
        <v>194</v>
      </c>
      <c r="C110" s="284"/>
      <c r="D110" s="284"/>
      <c r="E110" s="71">
        <v>835</v>
      </c>
    </row>
    <row r="111" spans="1:5" ht="15">
      <c r="A111" s="66" t="s">
        <v>257</v>
      </c>
      <c r="B111" s="284" t="s">
        <v>258</v>
      </c>
      <c r="C111" s="284"/>
      <c r="D111" s="284"/>
      <c r="E111" s="71">
        <v>529</v>
      </c>
    </row>
    <row r="112" spans="1:5" ht="15">
      <c r="A112" s="66" t="s">
        <v>259</v>
      </c>
      <c r="B112" s="284" t="s">
        <v>260</v>
      </c>
      <c r="C112" s="284"/>
      <c r="D112" s="284"/>
      <c r="E112" s="71">
        <v>752</v>
      </c>
    </row>
    <row r="113" spans="1:5" ht="15">
      <c r="A113" s="66" t="s">
        <v>261</v>
      </c>
      <c r="B113" s="284" t="s">
        <v>262</v>
      </c>
      <c r="C113" s="284"/>
      <c r="D113" s="284"/>
      <c r="E113" s="71">
        <v>749</v>
      </c>
    </row>
    <row r="114" spans="1:5" ht="15">
      <c r="A114" s="66" t="s">
        <v>261</v>
      </c>
      <c r="B114" s="284" t="s">
        <v>194</v>
      </c>
      <c r="C114" s="284"/>
      <c r="D114" s="284"/>
      <c r="E114" s="71">
        <v>1196</v>
      </c>
    </row>
    <row r="115" spans="1:5" ht="15">
      <c r="A115" s="66" t="s">
        <v>263</v>
      </c>
      <c r="B115" s="284" t="s">
        <v>264</v>
      </c>
      <c r="C115" s="284"/>
      <c r="D115" s="284"/>
      <c r="E115" s="71">
        <v>361</v>
      </c>
    </row>
    <row r="116" spans="1:5" ht="15">
      <c r="A116" s="66" t="s">
        <v>265</v>
      </c>
      <c r="B116" s="284" t="s">
        <v>266</v>
      </c>
      <c r="C116" s="284"/>
      <c r="D116" s="284"/>
      <c r="E116" s="71">
        <v>908</v>
      </c>
    </row>
    <row r="117" spans="1:5" ht="15">
      <c r="A117" s="66" t="s">
        <v>267</v>
      </c>
      <c r="B117" s="284" t="s">
        <v>260</v>
      </c>
      <c r="C117" s="284"/>
      <c r="D117" s="284"/>
      <c r="E117" s="71">
        <v>527</v>
      </c>
    </row>
    <row r="118" spans="1:5" ht="15">
      <c r="A118" s="66" t="s">
        <v>268</v>
      </c>
      <c r="B118" s="284" t="s">
        <v>269</v>
      </c>
      <c r="C118" s="284"/>
      <c r="D118" s="284"/>
      <c r="E118" s="71">
        <v>466</v>
      </c>
    </row>
    <row r="119" spans="1:5" ht="15">
      <c r="A119" s="66" t="s">
        <v>270</v>
      </c>
      <c r="B119" s="284" t="s">
        <v>271</v>
      </c>
      <c r="C119" s="284"/>
      <c r="D119" s="284"/>
      <c r="E119" s="71">
        <v>2260</v>
      </c>
    </row>
    <row r="120" spans="1:5" ht="15">
      <c r="A120" s="66" t="s">
        <v>272</v>
      </c>
      <c r="B120" s="284" t="s">
        <v>273</v>
      </c>
      <c r="C120" s="284"/>
      <c r="D120" s="284"/>
      <c r="E120" s="71">
        <v>3858</v>
      </c>
    </row>
    <row r="121" spans="1:5" ht="15">
      <c r="A121" s="66" t="s">
        <v>274</v>
      </c>
      <c r="B121" s="284" t="s">
        <v>248</v>
      </c>
      <c r="C121" s="284"/>
      <c r="D121" s="284"/>
      <c r="E121" s="71">
        <v>1120</v>
      </c>
    </row>
    <row r="122" spans="1:5" ht="15">
      <c r="A122" s="66" t="s">
        <v>274</v>
      </c>
      <c r="B122" s="284" t="s">
        <v>269</v>
      </c>
      <c r="C122" s="284"/>
      <c r="D122" s="284"/>
      <c r="E122" s="71">
        <v>1120</v>
      </c>
    </row>
    <row r="123" spans="1:5" ht="15">
      <c r="A123" s="66" t="s">
        <v>274</v>
      </c>
      <c r="B123" s="284" t="s">
        <v>248</v>
      </c>
      <c r="C123" s="284"/>
      <c r="D123" s="284"/>
      <c r="E123" s="71">
        <v>931</v>
      </c>
    </row>
    <row r="124" spans="1:5" ht="15">
      <c r="A124" s="66" t="s">
        <v>274</v>
      </c>
      <c r="B124" s="284" t="s">
        <v>269</v>
      </c>
      <c r="C124" s="284"/>
      <c r="D124" s="284"/>
      <c r="E124" s="71">
        <v>931</v>
      </c>
    </row>
    <row r="125" spans="1:5" ht="15">
      <c r="A125" s="66" t="s">
        <v>274</v>
      </c>
      <c r="B125" s="284" t="s">
        <v>248</v>
      </c>
      <c r="C125" s="284"/>
      <c r="D125" s="284"/>
      <c r="E125" s="71">
        <v>931</v>
      </c>
    </row>
    <row r="126" spans="1:5" ht="15">
      <c r="A126" s="66" t="s">
        <v>274</v>
      </c>
      <c r="B126" s="284" t="s">
        <v>269</v>
      </c>
      <c r="C126" s="284"/>
      <c r="D126" s="284"/>
      <c r="E126" s="71">
        <v>931</v>
      </c>
    </row>
    <row r="127" spans="1:5" ht="15">
      <c r="A127" s="66" t="s">
        <v>275</v>
      </c>
      <c r="B127" s="284" t="s">
        <v>276</v>
      </c>
      <c r="C127" s="284"/>
      <c r="D127" s="284"/>
      <c r="E127" s="71">
        <v>1279</v>
      </c>
    </row>
    <row r="128" spans="1:5" ht="15">
      <c r="A128" s="66" t="s">
        <v>277</v>
      </c>
      <c r="B128" s="284" t="s">
        <v>278</v>
      </c>
      <c r="C128" s="284"/>
      <c r="D128" s="284"/>
      <c r="E128" s="71">
        <v>2600</v>
      </c>
    </row>
    <row r="129" spans="1:5" ht="15">
      <c r="A129" s="66" t="s">
        <v>279</v>
      </c>
      <c r="B129" s="284" t="s">
        <v>260</v>
      </c>
      <c r="C129" s="284"/>
      <c r="D129" s="284"/>
      <c r="E129" s="71">
        <v>536</v>
      </c>
    </row>
    <row r="130" spans="1:5" ht="15">
      <c r="A130" s="66" t="s">
        <v>280</v>
      </c>
      <c r="B130" s="284" t="s">
        <v>281</v>
      </c>
      <c r="C130" s="284"/>
      <c r="D130" s="284"/>
      <c r="E130" s="71">
        <v>2125</v>
      </c>
    </row>
    <row r="131" spans="1:5" ht="15">
      <c r="A131" s="66" t="s">
        <v>282</v>
      </c>
      <c r="B131" s="284" t="s">
        <v>283</v>
      </c>
      <c r="C131" s="284"/>
      <c r="D131" s="284"/>
      <c r="E131" s="71">
        <v>1598</v>
      </c>
    </row>
    <row r="132" spans="1:5" ht="15">
      <c r="A132" s="66" t="s">
        <v>284</v>
      </c>
      <c r="B132" s="284" t="s">
        <v>181</v>
      </c>
      <c r="C132" s="284"/>
      <c r="D132" s="284"/>
      <c r="E132" s="71">
        <v>591</v>
      </c>
    </row>
    <row r="133" spans="1:5" ht="15">
      <c r="A133" s="66" t="s">
        <v>285</v>
      </c>
      <c r="B133" s="284" t="s">
        <v>286</v>
      </c>
      <c r="C133" s="284"/>
      <c r="D133" s="284"/>
      <c r="E133" s="71">
        <v>1600</v>
      </c>
    </row>
    <row r="134" spans="1:5" ht="15">
      <c r="A134" s="66" t="s">
        <v>287</v>
      </c>
      <c r="B134" s="284" t="s">
        <v>288</v>
      </c>
      <c r="C134" s="284"/>
      <c r="D134" s="284"/>
      <c r="E134" s="71">
        <v>5097.6</v>
      </c>
    </row>
    <row r="135" spans="1:5" ht="15">
      <c r="A135" s="66" t="s">
        <v>289</v>
      </c>
      <c r="B135" s="284" t="s">
        <v>290</v>
      </c>
      <c r="C135" s="284"/>
      <c r="D135" s="284"/>
      <c r="E135" s="71">
        <v>850.65</v>
      </c>
    </row>
    <row r="136" spans="1:5" ht="15">
      <c r="A136" s="66" t="s">
        <v>187</v>
      </c>
      <c r="B136" s="284" t="s">
        <v>286</v>
      </c>
      <c r="C136" s="284"/>
      <c r="D136" s="284"/>
      <c r="E136" s="71">
        <v>1600</v>
      </c>
    </row>
    <row r="137" spans="1:5" ht="15">
      <c r="A137" s="66" t="s">
        <v>291</v>
      </c>
      <c r="B137" s="284" t="s">
        <v>286</v>
      </c>
      <c r="C137" s="284"/>
      <c r="D137" s="284"/>
      <c r="E137" s="71">
        <v>1600</v>
      </c>
    </row>
    <row r="138" spans="1:5" ht="15">
      <c r="A138" s="66" t="s">
        <v>292</v>
      </c>
      <c r="B138" s="284" t="s">
        <v>286</v>
      </c>
      <c r="C138" s="284"/>
      <c r="D138" s="284"/>
      <c r="E138" s="71">
        <v>1600</v>
      </c>
    </row>
    <row r="139" spans="1:5" ht="15">
      <c r="A139" s="66" t="s">
        <v>293</v>
      </c>
      <c r="B139" s="284" t="s">
        <v>290</v>
      </c>
      <c r="C139" s="284"/>
      <c r="D139" s="284"/>
      <c r="E139" s="71">
        <v>1701.3</v>
      </c>
    </row>
    <row r="140" spans="1:5" ht="15">
      <c r="A140" s="66" t="s">
        <v>294</v>
      </c>
      <c r="B140" s="284" t="s">
        <v>286</v>
      </c>
      <c r="C140" s="284"/>
      <c r="D140" s="284"/>
      <c r="E140" s="71">
        <v>1600</v>
      </c>
    </row>
    <row r="141" spans="1:5" ht="15">
      <c r="A141" s="66" t="s">
        <v>295</v>
      </c>
      <c r="B141" s="284" t="s">
        <v>288</v>
      </c>
      <c r="C141" s="284"/>
      <c r="D141" s="284"/>
      <c r="E141" s="71">
        <v>5097.6</v>
      </c>
    </row>
    <row r="142" spans="1:5" ht="15">
      <c r="A142" s="66" t="s">
        <v>229</v>
      </c>
      <c r="B142" s="284" t="s">
        <v>288</v>
      </c>
      <c r="C142" s="284"/>
      <c r="D142" s="284"/>
      <c r="E142" s="71">
        <v>5097.6</v>
      </c>
    </row>
    <row r="143" spans="1:5" ht="15">
      <c r="A143" s="66" t="s">
        <v>229</v>
      </c>
      <c r="B143" s="284" t="s">
        <v>286</v>
      </c>
      <c r="C143" s="284"/>
      <c r="D143" s="284"/>
      <c r="E143" s="71">
        <v>1600</v>
      </c>
    </row>
    <row r="144" spans="1:5" ht="15">
      <c r="A144" s="66" t="s">
        <v>207</v>
      </c>
      <c r="B144" s="284" t="s">
        <v>286</v>
      </c>
      <c r="C144" s="284"/>
      <c r="D144" s="284"/>
      <c r="E144" s="71">
        <v>1600</v>
      </c>
    </row>
    <row r="145" spans="1:5" ht="15">
      <c r="A145" s="66" t="s">
        <v>296</v>
      </c>
      <c r="B145" s="284" t="s">
        <v>297</v>
      </c>
      <c r="C145" s="284"/>
      <c r="D145" s="284"/>
      <c r="E145" s="71">
        <v>650</v>
      </c>
    </row>
    <row r="146" spans="1:5" ht="15">
      <c r="A146" s="66" t="s">
        <v>298</v>
      </c>
      <c r="B146" s="284" t="s">
        <v>297</v>
      </c>
      <c r="C146" s="284"/>
      <c r="D146" s="284"/>
      <c r="E146" s="71">
        <v>650</v>
      </c>
    </row>
    <row r="147" spans="1:5" ht="15">
      <c r="A147" s="66" t="s">
        <v>299</v>
      </c>
      <c r="B147" s="284" t="s">
        <v>300</v>
      </c>
      <c r="C147" s="284"/>
      <c r="D147" s="284"/>
      <c r="E147" s="74">
        <v>5200</v>
      </c>
    </row>
    <row r="148" spans="1:5" ht="15">
      <c r="A148" s="66" t="s">
        <v>292</v>
      </c>
      <c r="B148" s="284" t="s">
        <v>301</v>
      </c>
      <c r="C148" s="284"/>
      <c r="D148" s="284"/>
      <c r="E148" s="71">
        <v>5031.9</v>
      </c>
    </row>
    <row r="149" spans="1:5" ht="15">
      <c r="A149" s="73"/>
      <c r="B149" s="292"/>
      <c r="C149" s="293"/>
      <c r="D149" s="294"/>
      <c r="E149" s="75">
        <f>SUM(E40:E148)</f>
        <v>193065.25</v>
      </c>
    </row>
    <row r="150" spans="1:5" ht="15">
      <c r="A150" s="291"/>
      <c r="B150" s="291"/>
      <c r="C150" s="291"/>
      <c r="D150" s="291"/>
      <c r="E150" s="291"/>
    </row>
    <row r="151" spans="1:5" ht="15">
      <c r="A151" s="58"/>
      <c r="B151" s="58"/>
      <c r="C151" s="58"/>
      <c r="D151" s="58"/>
      <c r="E151" s="58"/>
    </row>
    <row r="152" ht="15.75">
      <c r="A152" s="57"/>
    </row>
  </sheetData>
  <sheetProtection/>
  <mergeCells count="133">
    <mergeCell ref="B132:D132"/>
    <mergeCell ref="B145:D145"/>
    <mergeCell ref="B115:D115"/>
    <mergeCell ref="B116:D116"/>
    <mergeCell ref="B111:D111"/>
    <mergeCell ref="B117:D117"/>
    <mergeCell ref="B134:D134"/>
    <mergeCell ref="B133:D133"/>
    <mergeCell ref="B119:D119"/>
    <mergeCell ref="B120:D120"/>
    <mergeCell ref="B149:D149"/>
    <mergeCell ref="B123:D123"/>
    <mergeCell ref="B128:D128"/>
    <mergeCell ref="B127:D127"/>
    <mergeCell ref="B126:D126"/>
    <mergeCell ref="B125:D125"/>
    <mergeCell ref="B138:D138"/>
    <mergeCell ref="B137:D137"/>
    <mergeCell ref="B136:D136"/>
    <mergeCell ref="B135:D135"/>
    <mergeCell ref="B104:D104"/>
    <mergeCell ref="B105:D105"/>
    <mergeCell ref="B106:D106"/>
    <mergeCell ref="B107:D107"/>
    <mergeCell ref="B108:D108"/>
    <mergeCell ref="B131:D131"/>
    <mergeCell ref="B110:D110"/>
    <mergeCell ref="B112:D112"/>
    <mergeCell ref="B113:D113"/>
    <mergeCell ref="B114:D114"/>
    <mergeCell ref="B98:D98"/>
    <mergeCell ref="B144:D144"/>
    <mergeCell ref="B143:D143"/>
    <mergeCell ref="B142:D142"/>
    <mergeCell ref="B141:D141"/>
    <mergeCell ref="B140:D140"/>
    <mergeCell ref="B139:D139"/>
    <mergeCell ref="B101:D101"/>
    <mergeCell ref="B102:D102"/>
    <mergeCell ref="B103:D103"/>
    <mergeCell ref="B74:D74"/>
    <mergeCell ref="B64:D64"/>
    <mergeCell ref="B95:D95"/>
    <mergeCell ref="B91:D91"/>
    <mergeCell ref="B92:D92"/>
    <mergeCell ref="B67:D67"/>
    <mergeCell ref="B68:D68"/>
    <mergeCell ref="B71:D71"/>
    <mergeCell ref="B72:D72"/>
    <mergeCell ref="B73:D73"/>
    <mergeCell ref="B63:D63"/>
    <mergeCell ref="B48:D48"/>
    <mergeCell ref="B49:D49"/>
    <mergeCell ref="B50:D50"/>
    <mergeCell ref="B51:D51"/>
    <mergeCell ref="B57:D57"/>
    <mergeCell ref="B62:D62"/>
    <mergeCell ref="A150:B150"/>
    <mergeCell ref="C150:E150"/>
    <mergeCell ref="B13:D13"/>
    <mergeCell ref="B14:D14"/>
    <mergeCell ref="B15:D15"/>
    <mergeCell ref="B16:D16"/>
    <mergeCell ref="B17:D17"/>
    <mergeCell ref="B148:D148"/>
    <mergeCell ref="B147:D147"/>
    <mergeCell ref="B146:D146"/>
    <mergeCell ref="B121:D121"/>
    <mergeCell ref="B122:D122"/>
    <mergeCell ref="B118:D118"/>
    <mergeCell ref="B129:D129"/>
    <mergeCell ref="B124:D124"/>
    <mergeCell ref="B130:D130"/>
    <mergeCell ref="B96:D96"/>
    <mergeCell ref="B97:D97"/>
    <mergeCell ref="B88:D88"/>
    <mergeCell ref="B77:D77"/>
    <mergeCell ref="B78:D78"/>
    <mergeCell ref="B79:D79"/>
    <mergeCell ref="B80:D80"/>
    <mergeCell ref="B86:D86"/>
    <mergeCell ref="B93:D93"/>
    <mergeCell ref="B85:D85"/>
    <mergeCell ref="B99:D99"/>
    <mergeCell ref="B100:D100"/>
    <mergeCell ref="B89:D89"/>
    <mergeCell ref="B90:D90"/>
    <mergeCell ref="B76:D76"/>
    <mergeCell ref="B87:D87"/>
    <mergeCell ref="B81:D81"/>
    <mergeCell ref="B82:D82"/>
    <mergeCell ref="B83:D83"/>
    <mergeCell ref="B84:D84"/>
    <mergeCell ref="B75:D75"/>
    <mergeCell ref="B58:D58"/>
    <mergeCell ref="B59:D59"/>
    <mergeCell ref="B60:D60"/>
    <mergeCell ref="B61:D61"/>
    <mergeCell ref="B94:D94"/>
    <mergeCell ref="B69:D69"/>
    <mergeCell ref="B70:D70"/>
    <mergeCell ref="B65:D65"/>
    <mergeCell ref="B66:D66"/>
    <mergeCell ref="B26:D26"/>
    <mergeCell ref="B27:D27"/>
    <mergeCell ref="B53:D53"/>
    <mergeCell ref="B54:D54"/>
    <mergeCell ref="B55:D55"/>
    <mergeCell ref="B56:D56"/>
    <mergeCell ref="B40:D40"/>
    <mergeCell ref="B41:D41"/>
    <mergeCell ref="B46:D46"/>
    <mergeCell ref="B47:D47"/>
    <mergeCell ref="A36:E36"/>
    <mergeCell ref="B39:D39"/>
    <mergeCell ref="A1:E1"/>
    <mergeCell ref="A2:E2"/>
    <mergeCell ref="A38:B38"/>
    <mergeCell ref="B18:D18"/>
    <mergeCell ref="B19:D19"/>
    <mergeCell ref="B22:D22"/>
    <mergeCell ref="B20:D20"/>
    <mergeCell ref="B21:D21"/>
    <mergeCell ref="B28:D28"/>
    <mergeCell ref="B23:D23"/>
    <mergeCell ref="B24:D24"/>
    <mergeCell ref="B25:D25"/>
    <mergeCell ref="B52:D52"/>
    <mergeCell ref="B42:D42"/>
    <mergeCell ref="B43:D43"/>
    <mergeCell ref="B44:D44"/>
    <mergeCell ref="B45:D45"/>
    <mergeCell ref="A30:D30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28125" style="23" customWidth="1"/>
    <col min="2" max="2" width="50.421875" style="22" customWidth="1"/>
    <col min="3" max="4" width="18.421875" style="22" customWidth="1"/>
    <col min="5" max="5" width="9.140625" style="22" customWidth="1"/>
    <col min="6" max="6" width="10.00390625" style="22" bestFit="1" customWidth="1"/>
    <col min="7" max="16384" width="9.140625" style="22" customWidth="1"/>
  </cols>
  <sheetData>
    <row r="1" spans="1:4" ht="15.75">
      <c r="A1" s="210" t="s">
        <v>68</v>
      </c>
      <c r="B1" s="210"/>
      <c r="C1" s="210"/>
      <c r="D1" s="210"/>
    </row>
    <row r="2" spans="1:4" ht="15.75">
      <c r="A2" s="210" t="s">
        <v>69</v>
      </c>
      <c r="B2" s="210"/>
      <c r="C2" s="210"/>
      <c r="D2" s="210"/>
    </row>
    <row r="3" spans="1:4" ht="15.75">
      <c r="A3" s="210" t="s">
        <v>337</v>
      </c>
      <c r="B3" s="210"/>
      <c r="C3" s="210"/>
      <c r="D3" s="210"/>
    </row>
    <row r="4" ht="15.75">
      <c r="D4" s="25" t="s">
        <v>16</v>
      </c>
    </row>
    <row r="5" spans="1:4" s="32" customFormat="1" ht="15.75">
      <c r="A5" s="30" t="s">
        <v>71</v>
      </c>
      <c r="B5" s="30" t="s">
        <v>72</v>
      </c>
      <c r="C5" s="30" t="s">
        <v>443</v>
      </c>
      <c r="D5" s="31" t="s">
        <v>373</v>
      </c>
    </row>
    <row r="6" spans="1:8" s="34" customFormat="1" ht="12.75">
      <c r="A6" s="33">
        <v>1</v>
      </c>
      <c r="B6" s="33">
        <v>2</v>
      </c>
      <c r="C6" s="33">
        <v>3</v>
      </c>
      <c r="D6" s="33">
        <v>4</v>
      </c>
      <c r="H6" s="34">
        <f>15.5*H15*12</f>
        <v>832424.3999999999</v>
      </c>
    </row>
    <row r="7" spans="1:4" s="34" customFormat="1" ht="15.75">
      <c r="A7" s="33"/>
      <c r="B7" s="154" t="s">
        <v>442</v>
      </c>
      <c r="C7" s="43">
        <f>'2016 нестд'!D50</f>
        <v>-14588.170999999857</v>
      </c>
      <c r="D7" s="33"/>
    </row>
    <row r="8" spans="1:4" s="34" customFormat="1" ht="15.75">
      <c r="A8" s="33"/>
      <c r="B8" s="154" t="s">
        <v>461</v>
      </c>
      <c r="C8" s="43">
        <v>745114.5</v>
      </c>
      <c r="D8" s="33"/>
    </row>
    <row r="9" spans="1:6" s="34" customFormat="1" ht="15.75">
      <c r="A9" s="33"/>
      <c r="B9" s="154" t="s">
        <v>467</v>
      </c>
      <c r="C9" s="43">
        <v>111826.37</v>
      </c>
      <c r="D9" s="33"/>
      <c r="F9" s="206"/>
    </row>
    <row r="10" spans="1:4" s="34" customFormat="1" ht="15.75">
      <c r="A10" s="33"/>
      <c r="B10" s="154" t="s">
        <v>466</v>
      </c>
      <c r="C10" s="43">
        <v>7377.06</v>
      </c>
      <c r="D10" s="33"/>
    </row>
    <row r="11" spans="1:4" s="34" customFormat="1" ht="15.75">
      <c r="A11" s="33"/>
      <c r="B11" s="154" t="s">
        <v>465</v>
      </c>
      <c r="C11" s="43">
        <v>64618.29</v>
      </c>
      <c r="D11" s="33"/>
    </row>
    <row r="12" spans="1:4" s="34" customFormat="1" ht="15.75">
      <c r="A12" s="33"/>
      <c r="B12" s="154" t="s">
        <v>464</v>
      </c>
      <c r="C12" s="43">
        <v>5758.61</v>
      </c>
      <c r="D12" s="33"/>
    </row>
    <row r="13" spans="1:4" s="34" customFormat="1" ht="15.75">
      <c r="A13" s="33"/>
      <c r="B13" s="154" t="s">
        <v>463</v>
      </c>
      <c r="C13" s="43">
        <v>3425.18</v>
      </c>
      <c r="D13" s="33"/>
    </row>
    <row r="14" spans="1:4" s="34" customFormat="1" ht="15.75">
      <c r="A14" s="33"/>
      <c r="B14" s="154" t="s">
        <v>462</v>
      </c>
      <c r="C14" s="43">
        <v>85137.41</v>
      </c>
      <c r="D14" s="33"/>
    </row>
    <row r="15" spans="1:9" s="39" customFormat="1" ht="15.75">
      <c r="A15" s="37" t="s">
        <v>74</v>
      </c>
      <c r="B15" s="38" t="s">
        <v>75</v>
      </c>
      <c r="C15" s="119">
        <f>C16</f>
        <v>746920.9090000001</v>
      </c>
      <c r="D15" s="30"/>
      <c r="G15" s="39" t="s">
        <v>22</v>
      </c>
      <c r="H15" s="39">
        <v>4475.4</v>
      </c>
      <c r="I15" s="39" t="s">
        <v>11</v>
      </c>
    </row>
    <row r="16" spans="1:4" ht="15.75">
      <c r="A16" s="28" t="s">
        <v>79</v>
      </c>
      <c r="B16" s="46" t="s">
        <v>76</v>
      </c>
      <c r="C16" s="120">
        <f>C18</f>
        <v>746920.9090000001</v>
      </c>
      <c r="D16" s="28"/>
    </row>
    <row r="17" spans="1:8" ht="48" customHeight="1">
      <c r="A17" s="28" t="s">
        <v>81</v>
      </c>
      <c r="B17" s="35" t="s">
        <v>77</v>
      </c>
      <c r="C17" s="121" t="s">
        <v>78</v>
      </c>
      <c r="D17" s="29" t="s">
        <v>129</v>
      </c>
      <c r="H17" s="22">
        <f>C20/H15/12</f>
        <v>1.9278444384859457</v>
      </c>
    </row>
    <row r="18" spans="1:4" s="39" customFormat="1" ht="15.75">
      <c r="A18" s="37" t="s">
        <v>82</v>
      </c>
      <c r="B18" s="38" t="s">
        <v>80</v>
      </c>
      <c r="C18" s="119">
        <f>C19+C24+C25+C29+C30+C34+C37+C40+C41+C43+C44+C42</f>
        <v>746920.9090000001</v>
      </c>
      <c r="D18" s="44">
        <f>D19+D24+D25+D29+D30+D34+D37+D40+D41+D42+D43+D44+D48</f>
        <v>733847.678</v>
      </c>
    </row>
    <row r="19" spans="1:6" s="39" customFormat="1" ht="15.75">
      <c r="A19" s="37" t="s">
        <v>83</v>
      </c>
      <c r="B19" s="38" t="s">
        <v>84</v>
      </c>
      <c r="C19" s="119">
        <f>SUM(C20:C23)</f>
        <v>300524.5</v>
      </c>
      <c r="D19" s="44">
        <f>D20+D21+D22+D23</f>
        <v>300524.5</v>
      </c>
      <c r="F19" s="39">
        <f>3.58-0.09</f>
        <v>3.49</v>
      </c>
    </row>
    <row r="20" spans="1:4" ht="15.75">
      <c r="A20" s="27" t="s">
        <v>93</v>
      </c>
      <c r="B20" s="24" t="s">
        <v>86</v>
      </c>
      <c r="C20" s="120">
        <v>103534.5</v>
      </c>
      <c r="D20" s="43">
        <f>C20</f>
        <v>103534.5</v>
      </c>
    </row>
    <row r="21" spans="1:5" ht="15.75">
      <c r="A21" s="27" t="s">
        <v>94</v>
      </c>
      <c r="B21" s="24" t="s">
        <v>88</v>
      </c>
      <c r="C21" s="120">
        <v>180000</v>
      </c>
      <c r="D21" s="43">
        <f>C21</f>
        <v>180000</v>
      </c>
      <c r="E21" s="22" t="s">
        <v>133</v>
      </c>
    </row>
    <row r="22" spans="1:4" ht="15.75">
      <c r="A22" s="27" t="s">
        <v>95</v>
      </c>
      <c r="B22" s="24" t="s">
        <v>90</v>
      </c>
      <c r="C22" s="120">
        <v>8990</v>
      </c>
      <c r="D22" s="43">
        <f>C22</f>
        <v>8990</v>
      </c>
    </row>
    <row r="23" spans="1:6" ht="15.75">
      <c r="A23" s="27" t="s">
        <v>96</v>
      </c>
      <c r="B23" s="24" t="s">
        <v>145</v>
      </c>
      <c r="C23" s="120">
        <v>8000</v>
      </c>
      <c r="D23" s="43">
        <f>C23</f>
        <v>8000</v>
      </c>
      <c r="F23" s="22">
        <v>0.39</v>
      </c>
    </row>
    <row r="24" spans="1:7" s="39" customFormat="1" ht="31.5">
      <c r="A24" s="30" t="s">
        <v>85</v>
      </c>
      <c r="B24" s="40" t="s">
        <v>97</v>
      </c>
      <c r="C24" s="119">
        <f>E24*12+500*12</f>
        <v>62736</v>
      </c>
      <c r="D24" s="44">
        <v>56945.04</v>
      </c>
      <c r="E24" s="22">
        <v>4728</v>
      </c>
      <c r="F24" s="22" t="s">
        <v>128</v>
      </c>
      <c r="G24" s="22"/>
    </row>
    <row r="25" spans="1:7" s="39" customFormat="1" ht="15.75">
      <c r="A25" s="37" t="s">
        <v>87</v>
      </c>
      <c r="B25" s="38" t="s">
        <v>110</v>
      </c>
      <c r="C25" s="119">
        <f>SUM(C26:C28)</f>
        <v>101876</v>
      </c>
      <c r="D25" s="44">
        <f>D26+D27+D28</f>
        <v>66731</v>
      </c>
      <c r="E25" s="22"/>
      <c r="F25" s="22"/>
      <c r="G25" s="22"/>
    </row>
    <row r="26" spans="1:7" ht="31.5">
      <c r="A26" s="28" t="s">
        <v>98</v>
      </c>
      <c r="B26" s="26" t="s">
        <v>99</v>
      </c>
      <c r="C26" s="120">
        <f>5123*12+500*12+1200*12</f>
        <v>81876</v>
      </c>
      <c r="D26" s="28">
        <f>61476+1614</f>
        <v>63090</v>
      </c>
      <c r="E26" s="22">
        <v>5123</v>
      </c>
      <c r="F26" s="22" t="s">
        <v>127</v>
      </c>
      <c r="G26" s="22" t="s">
        <v>137</v>
      </c>
    </row>
    <row r="27" spans="1:5" ht="15.75">
      <c r="A27" s="36" t="s">
        <v>100</v>
      </c>
      <c r="B27" s="24" t="s">
        <v>132</v>
      </c>
      <c r="C27" s="120">
        <v>3000</v>
      </c>
      <c r="D27" s="28">
        <v>3641</v>
      </c>
      <c r="E27" s="22" t="s">
        <v>126</v>
      </c>
    </row>
    <row r="28" spans="1:4" ht="15.75">
      <c r="A28" s="36" t="s">
        <v>334</v>
      </c>
      <c r="B28" s="26" t="s">
        <v>468</v>
      </c>
      <c r="C28" s="120">
        <v>17000</v>
      </c>
      <c r="D28" s="28">
        <v>0</v>
      </c>
    </row>
    <row r="29" spans="1:4" s="39" customFormat="1" ht="15.75">
      <c r="A29" s="37" t="s">
        <v>89</v>
      </c>
      <c r="B29" s="38" t="s">
        <v>103</v>
      </c>
      <c r="C29" s="119">
        <f>0.22*12*H15</f>
        <v>11815.056</v>
      </c>
      <c r="D29" s="44">
        <f>0.22*6*H15+0.24*3*H15+0.71*3*H15</f>
        <v>18662.417999999998</v>
      </c>
    </row>
    <row r="30" spans="1:4" s="39" customFormat="1" ht="31.5">
      <c r="A30" s="30" t="s">
        <v>91</v>
      </c>
      <c r="B30" s="40" t="s">
        <v>109</v>
      </c>
      <c r="C30" s="119">
        <f>SUM(C31:C33)</f>
        <v>48000</v>
      </c>
      <c r="D30" s="44">
        <f>D31+D33</f>
        <v>84738</v>
      </c>
    </row>
    <row r="31" spans="1:5" ht="15.75">
      <c r="A31" s="27" t="s">
        <v>138</v>
      </c>
      <c r="B31" s="24" t="s">
        <v>142</v>
      </c>
      <c r="C31" s="120">
        <f>5000</f>
        <v>5000</v>
      </c>
      <c r="D31" s="211">
        <f>57782+2400</f>
        <v>60182</v>
      </c>
      <c r="E31" s="22">
        <v>0.21</v>
      </c>
    </row>
    <row r="32" spans="1:4" ht="15.75">
      <c r="A32" s="27" t="s">
        <v>139</v>
      </c>
      <c r="B32" s="24" t="s">
        <v>143</v>
      </c>
      <c r="C32" s="120">
        <f>4000</f>
        <v>4000</v>
      </c>
      <c r="D32" s="212"/>
    </row>
    <row r="33" spans="1:4" ht="15.75">
      <c r="A33" s="27" t="s">
        <v>140</v>
      </c>
      <c r="B33" s="24" t="s">
        <v>104</v>
      </c>
      <c r="C33" s="120">
        <v>39000</v>
      </c>
      <c r="D33" s="28">
        <f>23556+1000</f>
        <v>24556</v>
      </c>
    </row>
    <row r="34" spans="1:4" ht="31.5">
      <c r="A34" s="30" t="s">
        <v>92</v>
      </c>
      <c r="B34" s="40" t="s">
        <v>108</v>
      </c>
      <c r="C34" s="119">
        <f>C35</f>
        <v>1500</v>
      </c>
      <c r="D34" s="44">
        <f>D35+D36</f>
        <v>46084</v>
      </c>
    </row>
    <row r="35" spans="1:4" s="39" customFormat="1" ht="15.75">
      <c r="A35" s="28" t="s">
        <v>105</v>
      </c>
      <c r="B35" s="26" t="s">
        <v>336</v>
      </c>
      <c r="C35" s="120">
        <v>1500</v>
      </c>
      <c r="D35" s="28">
        <v>9783</v>
      </c>
    </row>
    <row r="36" spans="1:4" s="39" customFormat="1" ht="31.5">
      <c r="A36" s="194" t="s">
        <v>447</v>
      </c>
      <c r="B36" s="26" t="s">
        <v>448</v>
      </c>
      <c r="C36" s="120"/>
      <c r="D36" s="28">
        <v>36301</v>
      </c>
    </row>
    <row r="37" spans="1:4" ht="15.75">
      <c r="A37" s="37" t="s">
        <v>106</v>
      </c>
      <c r="B37" s="38" t="s">
        <v>107</v>
      </c>
      <c r="C37" s="119">
        <f>C38+C39</f>
        <v>71171.20000000001</v>
      </c>
      <c r="D37" s="44">
        <f>D38+D39</f>
        <v>67555.51999999999</v>
      </c>
    </row>
    <row r="38" spans="1:4" ht="31.5">
      <c r="A38" s="41" t="s">
        <v>111</v>
      </c>
      <c r="B38" s="26" t="s">
        <v>113</v>
      </c>
      <c r="C38" s="120">
        <f>5097.6*12</f>
        <v>61171.200000000004</v>
      </c>
      <c r="D38" s="28">
        <v>61171.2</v>
      </c>
    </row>
    <row r="39" spans="1:4" ht="31.5">
      <c r="A39" s="28" t="s">
        <v>114</v>
      </c>
      <c r="B39" s="26" t="s">
        <v>115</v>
      </c>
      <c r="C39" s="120">
        <v>10000</v>
      </c>
      <c r="D39" s="28">
        <v>6384.32</v>
      </c>
    </row>
    <row r="40" spans="1:4" s="39" customFormat="1" ht="15.75">
      <c r="A40" s="37" t="s">
        <v>116</v>
      </c>
      <c r="B40" s="38" t="s">
        <v>117</v>
      </c>
      <c r="C40" s="119">
        <v>5000</v>
      </c>
      <c r="D40" s="44">
        <v>2070</v>
      </c>
    </row>
    <row r="41" spans="1:4" ht="31.5">
      <c r="A41" s="30" t="s">
        <v>118</v>
      </c>
      <c r="B41" s="40" t="s">
        <v>119</v>
      </c>
      <c r="C41" s="119">
        <f>1600*12</f>
        <v>19200</v>
      </c>
      <c r="D41" s="44">
        <v>19200</v>
      </c>
    </row>
    <row r="42" spans="1:4" ht="15.75">
      <c r="A42" s="30" t="s">
        <v>120</v>
      </c>
      <c r="B42" s="40" t="s">
        <v>136</v>
      </c>
      <c r="C42" s="119">
        <v>35000</v>
      </c>
      <c r="D42" s="44">
        <f>25000+7000</f>
        <v>32000</v>
      </c>
    </row>
    <row r="43" spans="1:4" s="39" customFormat="1" ht="15.75">
      <c r="A43" s="37" t="s">
        <v>122</v>
      </c>
      <c r="B43" s="38" t="s">
        <v>121</v>
      </c>
      <c r="C43" s="119">
        <v>500</v>
      </c>
      <c r="D43" s="44">
        <v>0</v>
      </c>
    </row>
    <row r="44" spans="1:4" s="39" customFormat="1" ht="15.75">
      <c r="A44" s="37" t="s">
        <v>125</v>
      </c>
      <c r="B44" s="38" t="s">
        <v>123</v>
      </c>
      <c r="C44" s="119">
        <f>2241*12+17241*0.202*12+C20*0.202</f>
        <v>89598.153</v>
      </c>
      <c r="D44" s="44"/>
    </row>
    <row r="45" spans="1:4" s="39" customFormat="1" ht="18.75" customHeight="1">
      <c r="A45" s="23"/>
      <c r="B45" s="22"/>
      <c r="C45" s="22"/>
      <c r="D45" s="22"/>
    </row>
    <row r="46" spans="1:4" ht="15.75">
      <c r="A46" s="37" t="s">
        <v>135</v>
      </c>
      <c r="B46" s="38" t="s">
        <v>101</v>
      </c>
      <c r="C46" s="119">
        <f>7859.6*12+18000</f>
        <v>112315.20000000001</v>
      </c>
      <c r="D46" s="44">
        <v>111826.37</v>
      </c>
    </row>
    <row r="47" spans="1:4" s="39" customFormat="1" ht="15.75">
      <c r="A47" s="23"/>
      <c r="B47" s="22"/>
      <c r="C47" s="22"/>
      <c r="D47" s="22"/>
    </row>
    <row r="48" spans="1:4" s="39" customFormat="1" ht="15.75">
      <c r="A48" s="37" t="s">
        <v>449</v>
      </c>
      <c r="B48" s="38" t="s">
        <v>451</v>
      </c>
      <c r="C48" s="42"/>
      <c r="D48" s="195">
        <v>39337.2</v>
      </c>
    </row>
    <row r="49" spans="1:4" s="39" customFormat="1" ht="15.75">
      <c r="A49" s="23"/>
      <c r="B49" s="22"/>
      <c r="C49" s="22"/>
      <c r="D49" s="22"/>
    </row>
    <row r="50" spans="1:6" s="39" customFormat="1" ht="15.75">
      <c r="A50" s="213" t="s">
        <v>144</v>
      </c>
      <c r="B50" s="213"/>
      <c r="C50" s="42">
        <f>C46+C18</f>
        <v>859236.1090000002</v>
      </c>
      <c r="D50" s="42">
        <f>D46+D18</f>
        <v>845674.048</v>
      </c>
      <c r="F50" s="39" t="s">
        <v>343</v>
      </c>
    </row>
    <row r="51" spans="1:4" s="39" customFormat="1" ht="15.75">
      <c r="A51" s="37" t="s">
        <v>450</v>
      </c>
      <c r="B51" s="38" t="s">
        <v>325</v>
      </c>
      <c r="C51" s="42">
        <v>0</v>
      </c>
      <c r="D51" s="155">
        <f>7377.06</f>
        <v>7377.06</v>
      </c>
    </row>
    <row r="53" spans="1:4" s="39" customFormat="1" ht="15.75">
      <c r="A53" s="37" t="s">
        <v>453</v>
      </c>
      <c r="B53" s="38" t="s">
        <v>394</v>
      </c>
      <c r="C53" s="42">
        <v>0</v>
      </c>
      <c r="D53" s="155">
        <v>64618.29</v>
      </c>
    </row>
    <row r="55" spans="1:4" ht="15.75">
      <c r="A55" s="37" t="s">
        <v>454</v>
      </c>
      <c r="B55" s="38" t="s">
        <v>452</v>
      </c>
      <c r="C55" s="42">
        <v>0</v>
      </c>
      <c r="D55" s="155">
        <v>5758.61</v>
      </c>
    </row>
    <row r="57" spans="1:4" ht="15.75">
      <c r="A57" s="37" t="s">
        <v>455</v>
      </c>
      <c r="B57" s="38" t="s">
        <v>393</v>
      </c>
      <c r="C57" s="42">
        <v>0</v>
      </c>
      <c r="D57" s="155">
        <v>3425.18</v>
      </c>
    </row>
    <row r="58" spans="1:4" ht="15.75">
      <c r="A58" s="196"/>
      <c r="B58" s="197"/>
      <c r="C58" s="198"/>
      <c r="D58" s="199"/>
    </row>
    <row r="59" spans="1:4" ht="15.75">
      <c r="A59" s="37" t="s">
        <v>456</v>
      </c>
      <c r="B59" s="38" t="s">
        <v>457</v>
      </c>
      <c r="C59" s="42">
        <v>0</v>
      </c>
      <c r="D59" s="155">
        <v>85137.41</v>
      </c>
    </row>
    <row r="62" spans="1:4" ht="15.75">
      <c r="A62" s="213" t="s">
        <v>144</v>
      </c>
      <c r="B62" s="213"/>
      <c r="C62" s="42">
        <f>C48+C18</f>
        <v>746920.9090000001</v>
      </c>
      <c r="D62" s="44">
        <f>D46+D18+D51+D53+D55+D57+D59</f>
        <v>1011990.5980000001</v>
      </c>
    </row>
    <row r="65" spans="1:4" s="2" customFormat="1" ht="15.75">
      <c r="A65" s="207" t="s">
        <v>378</v>
      </c>
      <c r="B65" s="208"/>
      <c r="C65" s="209"/>
      <c r="D65" s="173">
        <f>C7+C8+C9+C10+C11+C12+C13+C14-D62</f>
        <v>-3321.348999999813</v>
      </c>
    </row>
    <row r="66" spans="1:4" s="2" customFormat="1" ht="15.75">
      <c r="A66" s="200" t="s">
        <v>379</v>
      </c>
      <c r="B66" s="201"/>
      <c r="C66" s="202"/>
      <c r="D66" s="173">
        <v>-94239.15</v>
      </c>
    </row>
    <row r="67" spans="1:4" s="2" customFormat="1" ht="15.75">
      <c r="A67" s="156"/>
      <c r="B67" s="157"/>
      <c r="C67" s="157"/>
      <c r="D67" s="157"/>
    </row>
    <row r="68" spans="1:4" s="2" customFormat="1" ht="15.75">
      <c r="A68" s="156"/>
      <c r="B68" s="157" t="s">
        <v>322</v>
      </c>
      <c r="C68" s="157"/>
      <c r="D68" s="157"/>
    </row>
  </sheetData>
  <sheetProtection/>
  <mergeCells count="7">
    <mergeCell ref="A65:C65"/>
    <mergeCell ref="A1:D1"/>
    <mergeCell ref="A2:D2"/>
    <mergeCell ref="A3:D3"/>
    <mergeCell ref="D31:D32"/>
    <mergeCell ref="A50:B50"/>
    <mergeCell ref="A62:B6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23" customWidth="1"/>
    <col min="2" max="2" width="50.421875" style="22" customWidth="1"/>
    <col min="3" max="4" width="18.421875" style="22" customWidth="1"/>
    <col min="5" max="5" width="9.140625" style="22" customWidth="1"/>
    <col min="6" max="6" width="10.00390625" style="22" bestFit="1" customWidth="1"/>
    <col min="7" max="16384" width="9.140625" style="22" customWidth="1"/>
  </cols>
  <sheetData>
    <row r="1" spans="1:4" ht="15.75">
      <c r="A1" s="210" t="s">
        <v>68</v>
      </c>
      <c r="B1" s="210"/>
      <c r="C1" s="210"/>
      <c r="D1" s="210"/>
    </row>
    <row r="2" spans="1:4" ht="15.75">
      <c r="A2" s="210" t="s">
        <v>69</v>
      </c>
      <c r="B2" s="210"/>
      <c r="C2" s="210"/>
      <c r="D2" s="210"/>
    </row>
    <row r="3" spans="1:4" ht="15.75">
      <c r="A3" s="210" t="s">
        <v>337</v>
      </c>
      <c r="B3" s="210"/>
      <c r="C3" s="210"/>
      <c r="D3" s="210"/>
    </row>
    <row r="4" ht="15.75">
      <c r="D4" s="25" t="s">
        <v>16</v>
      </c>
    </row>
    <row r="5" spans="1:4" s="32" customFormat="1" ht="15.75">
      <c r="A5" s="30" t="s">
        <v>71</v>
      </c>
      <c r="B5" s="30" t="s">
        <v>72</v>
      </c>
      <c r="C5" s="30" t="s">
        <v>443</v>
      </c>
      <c r="D5" s="31" t="s">
        <v>373</v>
      </c>
    </row>
    <row r="6" spans="1:8" s="34" customFormat="1" ht="12.75">
      <c r="A6" s="33">
        <v>1</v>
      </c>
      <c r="B6" s="33">
        <v>2</v>
      </c>
      <c r="C6" s="33">
        <v>3</v>
      </c>
      <c r="D6" s="33">
        <v>4</v>
      </c>
      <c r="H6" s="34">
        <f>15.5*H17*12</f>
        <v>832424.3999999999</v>
      </c>
    </row>
    <row r="7" spans="1:4" s="34" customFormat="1" ht="15.75">
      <c r="A7" s="33"/>
      <c r="B7" s="154" t="s">
        <v>442</v>
      </c>
      <c r="C7" s="43">
        <f>'2016 нестд'!D50</f>
        <v>-14588.170999999857</v>
      </c>
      <c r="D7" s="33"/>
    </row>
    <row r="8" spans="1:4" s="34" customFormat="1" ht="15.75">
      <c r="A8" s="33"/>
      <c r="B8" s="154" t="s">
        <v>461</v>
      </c>
      <c r="C8" s="43">
        <v>745114.5</v>
      </c>
      <c r="D8" s="33"/>
    </row>
    <row r="9" spans="1:6" s="34" customFormat="1" ht="15.75">
      <c r="A9" s="33"/>
      <c r="B9" s="154" t="s">
        <v>467</v>
      </c>
      <c r="C9" s="43">
        <v>111826.37</v>
      </c>
      <c r="D9" s="33"/>
      <c r="F9" s="206"/>
    </row>
    <row r="10" spans="1:4" s="34" customFormat="1" ht="15.75">
      <c r="A10" s="33"/>
      <c r="B10" s="154" t="s">
        <v>466</v>
      </c>
      <c r="C10" s="43">
        <v>7377.06</v>
      </c>
      <c r="D10" s="33"/>
    </row>
    <row r="11" spans="1:4" s="34" customFormat="1" ht="15.75">
      <c r="A11" s="33"/>
      <c r="B11" s="154" t="s">
        <v>465</v>
      </c>
      <c r="C11" s="43">
        <v>64618.29</v>
      </c>
      <c r="D11" s="33"/>
    </row>
    <row r="12" spans="1:4" s="34" customFormat="1" ht="15.75">
      <c r="A12" s="33"/>
      <c r="B12" s="154" t="s">
        <v>464</v>
      </c>
      <c r="C12" s="43">
        <v>5758.61</v>
      </c>
      <c r="D12" s="33"/>
    </row>
    <row r="13" spans="1:4" s="34" customFormat="1" ht="15.75">
      <c r="A13" s="33"/>
      <c r="B13" s="154" t="s">
        <v>463</v>
      </c>
      <c r="C13" s="43">
        <v>3425.18</v>
      </c>
      <c r="D13" s="33"/>
    </row>
    <row r="14" spans="1:4" s="34" customFormat="1" ht="15.75">
      <c r="A14" s="33"/>
      <c r="B14" s="154" t="s">
        <v>462</v>
      </c>
      <c r="C14" s="43">
        <v>85137.41</v>
      </c>
      <c r="D14" s="33"/>
    </row>
    <row r="15" spans="1:4" s="34" customFormat="1" ht="15.75">
      <c r="A15" s="33"/>
      <c r="B15" s="154" t="s">
        <v>396</v>
      </c>
      <c r="C15" s="43">
        <v>35680.95</v>
      </c>
      <c r="D15" s="33"/>
    </row>
    <row r="16" spans="1:4" s="34" customFormat="1" ht="15.75">
      <c r="A16" s="33"/>
      <c r="B16" s="154" t="s">
        <v>458</v>
      </c>
      <c r="C16" s="43">
        <v>5326.28</v>
      </c>
      <c r="D16" s="33"/>
    </row>
    <row r="17" spans="1:9" s="39" customFormat="1" ht="15.75">
      <c r="A17" s="37" t="s">
        <v>74</v>
      </c>
      <c r="B17" s="38" t="s">
        <v>75</v>
      </c>
      <c r="C17" s="119">
        <f>C18</f>
        <v>746920.9090000001</v>
      </c>
      <c r="D17" s="30"/>
      <c r="G17" s="39" t="s">
        <v>22</v>
      </c>
      <c r="H17" s="39">
        <v>4475.4</v>
      </c>
      <c r="I17" s="39" t="s">
        <v>11</v>
      </c>
    </row>
    <row r="18" spans="1:4" ht="15.75">
      <c r="A18" s="28" t="s">
        <v>79</v>
      </c>
      <c r="B18" s="46" t="s">
        <v>76</v>
      </c>
      <c r="C18" s="120">
        <f>C20</f>
        <v>746920.9090000001</v>
      </c>
      <c r="D18" s="28"/>
    </row>
    <row r="19" spans="1:8" ht="48" customHeight="1">
      <c r="A19" s="28" t="s">
        <v>81</v>
      </c>
      <c r="B19" s="35" t="s">
        <v>77</v>
      </c>
      <c r="C19" s="121" t="s">
        <v>78</v>
      </c>
      <c r="D19" s="29" t="s">
        <v>129</v>
      </c>
      <c r="H19" s="22">
        <f>C22/H17/12</f>
        <v>1.9278444384859457</v>
      </c>
    </row>
    <row r="20" spans="1:4" s="39" customFormat="1" ht="15.75">
      <c r="A20" s="37" t="s">
        <v>82</v>
      </c>
      <c r="B20" s="38" t="s">
        <v>80</v>
      </c>
      <c r="C20" s="119">
        <f>C21+C26+C27+C31+C32+C36+C39+C42+C43+C45+C46+C44</f>
        <v>746920.9090000001</v>
      </c>
      <c r="D20" s="44">
        <f>D21+D26+D27+D31+D32+D36+D39+D42+D43+D44+D45+D46+D50</f>
        <v>733847.678</v>
      </c>
    </row>
    <row r="21" spans="1:6" s="39" customFormat="1" ht="15.75">
      <c r="A21" s="37" t="s">
        <v>83</v>
      </c>
      <c r="B21" s="38" t="s">
        <v>84</v>
      </c>
      <c r="C21" s="119">
        <f>SUM(C22:C25)</f>
        <v>300524.5</v>
      </c>
      <c r="D21" s="44">
        <f>D22+D23+D24+D25</f>
        <v>300524.5</v>
      </c>
      <c r="F21" s="39">
        <f>3.58-0.09</f>
        <v>3.49</v>
      </c>
    </row>
    <row r="22" spans="1:4" ht="15.75">
      <c r="A22" s="27" t="s">
        <v>93</v>
      </c>
      <c r="B22" s="24" t="s">
        <v>86</v>
      </c>
      <c r="C22" s="120">
        <v>103534.5</v>
      </c>
      <c r="D22" s="43">
        <f>C22</f>
        <v>103534.5</v>
      </c>
    </row>
    <row r="23" spans="1:5" ht="15.75">
      <c r="A23" s="27" t="s">
        <v>94</v>
      </c>
      <c r="B23" s="24" t="s">
        <v>88</v>
      </c>
      <c r="C23" s="120">
        <v>180000</v>
      </c>
      <c r="D23" s="43">
        <f>C23</f>
        <v>180000</v>
      </c>
      <c r="E23" s="22" t="s">
        <v>133</v>
      </c>
    </row>
    <row r="24" spans="1:4" ht="15.75">
      <c r="A24" s="27" t="s">
        <v>95</v>
      </c>
      <c r="B24" s="24" t="s">
        <v>90</v>
      </c>
      <c r="C24" s="120">
        <v>8990</v>
      </c>
      <c r="D24" s="43">
        <f>C24</f>
        <v>8990</v>
      </c>
    </row>
    <row r="25" spans="1:6" ht="15.75">
      <c r="A25" s="27" t="s">
        <v>96</v>
      </c>
      <c r="B25" s="24" t="s">
        <v>145</v>
      </c>
      <c r="C25" s="120">
        <v>8000</v>
      </c>
      <c r="D25" s="43">
        <f>C25</f>
        <v>8000</v>
      </c>
      <c r="F25" s="22">
        <v>0.39</v>
      </c>
    </row>
    <row r="26" spans="1:7" s="39" customFormat="1" ht="31.5">
      <c r="A26" s="30" t="s">
        <v>85</v>
      </c>
      <c r="B26" s="40" t="s">
        <v>97</v>
      </c>
      <c r="C26" s="119">
        <f>E26*12+500*12</f>
        <v>62736</v>
      </c>
      <c r="D26" s="44">
        <v>56945.04</v>
      </c>
      <c r="E26" s="22">
        <v>4728</v>
      </c>
      <c r="F26" s="22" t="s">
        <v>128</v>
      </c>
      <c r="G26" s="22"/>
    </row>
    <row r="27" spans="1:7" s="39" customFormat="1" ht="15.75">
      <c r="A27" s="37" t="s">
        <v>87</v>
      </c>
      <c r="B27" s="38" t="s">
        <v>110</v>
      </c>
      <c r="C27" s="119">
        <f>SUM(C28:C30)</f>
        <v>101876</v>
      </c>
      <c r="D27" s="44">
        <f>D28+D29+D30</f>
        <v>66731</v>
      </c>
      <c r="E27" s="22"/>
      <c r="F27" s="22"/>
      <c r="G27" s="22"/>
    </row>
    <row r="28" spans="1:7" ht="31.5">
      <c r="A28" s="28" t="s">
        <v>98</v>
      </c>
      <c r="B28" s="26" t="s">
        <v>99</v>
      </c>
      <c r="C28" s="120">
        <f>5123*12+500*12+1200*12</f>
        <v>81876</v>
      </c>
      <c r="D28" s="28">
        <f>61476+1614</f>
        <v>63090</v>
      </c>
      <c r="E28" s="22">
        <v>5123</v>
      </c>
      <c r="F28" s="22" t="s">
        <v>127</v>
      </c>
      <c r="G28" s="22" t="s">
        <v>137</v>
      </c>
    </row>
    <row r="29" spans="1:5" ht="15.75">
      <c r="A29" s="36" t="s">
        <v>100</v>
      </c>
      <c r="B29" s="24" t="s">
        <v>132</v>
      </c>
      <c r="C29" s="120">
        <v>3000</v>
      </c>
      <c r="D29" s="28">
        <v>3641</v>
      </c>
      <c r="E29" s="22" t="s">
        <v>126</v>
      </c>
    </row>
    <row r="30" spans="1:4" ht="31.5">
      <c r="A30" s="36" t="s">
        <v>334</v>
      </c>
      <c r="B30" s="26" t="s">
        <v>446</v>
      </c>
      <c r="C30" s="120">
        <v>17000</v>
      </c>
      <c r="D30" s="28">
        <v>0</v>
      </c>
    </row>
    <row r="31" spans="1:4" s="39" customFormat="1" ht="15.75">
      <c r="A31" s="37" t="s">
        <v>89</v>
      </c>
      <c r="B31" s="38" t="s">
        <v>103</v>
      </c>
      <c r="C31" s="119">
        <f>0.22*12*H17</f>
        <v>11815.056</v>
      </c>
      <c r="D31" s="44">
        <f>0.22*6*H17+0.24*3*H17+0.71*3*H17</f>
        <v>18662.417999999998</v>
      </c>
    </row>
    <row r="32" spans="1:4" s="39" customFormat="1" ht="31.5">
      <c r="A32" s="30" t="s">
        <v>91</v>
      </c>
      <c r="B32" s="40" t="s">
        <v>109</v>
      </c>
      <c r="C32" s="119">
        <f>SUM(C33:C35)</f>
        <v>48000</v>
      </c>
      <c r="D32" s="44">
        <f>D33+D35</f>
        <v>84738</v>
      </c>
    </row>
    <row r="33" spans="1:5" ht="15.75">
      <c r="A33" s="27" t="s">
        <v>138</v>
      </c>
      <c r="B33" s="24" t="s">
        <v>142</v>
      </c>
      <c r="C33" s="120">
        <f>5000</f>
        <v>5000</v>
      </c>
      <c r="D33" s="211">
        <f>57782+2400</f>
        <v>60182</v>
      </c>
      <c r="E33" s="22">
        <v>0.21</v>
      </c>
    </row>
    <row r="34" spans="1:4" ht="15.75">
      <c r="A34" s="27" t="s">
        <v>139</v>
      </c>
      <c r="B34" s="24" t="s">
        <v>143</v>
      </c>
      <c r="C34" s="120">
        <f>4000</f>
        <v>4000</v>
      </c>
      <c r="D34" s="212"/>
    </row>
    <row r="35" spans="1:4" ht="15.75">
      <c r="A35" s="27" t="s">
        <v>140</v>
      </c>
      <c r="B35" s="24" t="s">
        <v>104</v>
      </c>
      <c r="C35" s="120">
        <v>39000</v>
      </c>
      <c r="D35" s="28">
        <f>23556+1000</f>
        <v>24556</v>
      </c>
    </row>
    <row r="36" spans="1:4" ht="31.5">
      <c r="A36" s="30" t="s">
        <v>92</v>
      </c>
      <c r="B36" s="40" t="s">
        <v>108</v>
      </c>
      <c r="C36" s="119">
        <f>C37</f>
        <v>1500</v>
      </c>
      <c r="D36" s="44">
        <f>D37+D38</f>
        <v>46084</v>
      </c>
    </row>
    <row r="37" spans="1:4" s="39" customFormat="1" ht="15.75">
      <c r="A37" s="28" t="s">
        <v>105</v>
      </c>
      <c r="B37" s="26" t="s">
        <v>336</v>
      </c>
      <c r="C37" s="120">
        <v>1500</v>
      </c>
      <c r="D37" s="28">
        <v>9783</v>
      </c>
    </row>
    <row r="38" spans="1:4" s="39" customFormat="1" ht="31.5">
      <c r="A38" s="194" t="s">
        <v>447</v>
      </c>
      <c r="B38" s="26" t="s">
        <v>448</v>
      </c>
      <c r="C38" s="120"/>
      <c r="D38" s="28">
        <v>36301</v>
      </c>
    </row>
    <row r="39" spans="1:4" ht="15.75">
      <c r="A39" s="37" t="s">
        <v>106</v>
      </c>
      <c r="B39" s="38" t="s">
        <v>107</v>
      </c>
      <c r="C39" s="119">
        <f>C40+C41</f>
        <v>71171.20000000001</v>
      </c>
      <c r="D39" s="44">
        <f>D40+D41</f>
        <v>67555.51999999999</v>
      </c>
    </row>
    <row r="40" spans="1:4" ht="31.5">
      <c r="A40" s="41" t="s">
        <v>111</v>
      </c>
      <c r="B40" s="26" t="s">
        <v>113</v>
      </c>
      <c r="C40" s="120">
        <f>5097.6*12</f>
        <v>61171.200000000004</v>
      </c>
      <c r="D40" s="28">
        <v>61171.2</v>
      </c>
    </row>
    <row r="41" spans="1:4" ht="31.5">
      <c r="A41" s="28" t="s">
        <v>114</v>
      </c>
      <c r="B41" s="26" t="s">
        <v>115</v>
      </c>
      <c r="C41" s="120">
        <v>10000</v>
      </c>
      <c r="D41" s="28">
        <v>6384.32</v>
      </c>
    </row>
    <row r="42" spans="1:4" s="39" customFormat="1" ht="15.75">
      <c r="A42" s="37" t="s">
        <v>116</v>
      </c>
      <c r="B42" s="38" t="s">
        <v>117</v>
      </c>
      <c r="C42" s="119">
        <v>5000</v>
      </c>
      <c r="D42" s="44">
        <v>2070</v>
      </c>
    </row>
    <row r="43" spans="1:4" ht="31.5">
      <c r="A43" s="30" t="s">
        <v>118</v>
      </c>
      <c r="B43" s="40" t="s">
        <v>119</v>
      </c>
      <c r="C43" s="119">
        <f>1600*12</f>
        <v>19200</v>
      </c>
      <c r="D43" s="44">
        <v>19200</v>
      </c>
    </row>
    <row r="44" spans="1:4" ht="15.75">
      <c r="A44" s="30" t="s">
        <v>120</v>
      </c>
      <c r="B44" s="40" t="s">
        <v>136</v>
      </c>
      <c r="C44" s="119">
        <v>35000</v>
      </c>
      <c r="D44" s="44">
        <f>25000+7000</f>
        <v>32000</v>
      </c>
    </row>
    <row r="45" spans="1:4" s="39" customFormat="1" ht="15.75">
      <c r="A45" s="37" t="s">
        <v>122</v>
      </c>
      <c r="B45" s="38" t="s">
        <v>121</v>
      </c>
      <c r="C45" s="119">
        <v>500</v>
      </c>
      <c r="D45" s="44">
        <v>0</v>
      </c>
    </row>
    <row r="46" spans="1:4" s="39" customFormat="1" ht="15.75">
      <c r="A46" s="37" t="s">
        <v>125</v>
      </c>
      <c r="B46" s="38" t="s">
        <v>123</v>
      </c>
      <c r="C46" s="119">
        <f>2241*12+17241*0.202*12+C22*0.202</f>
        <v>89598.153</v>
      </c>
      <c r="D46" s="44"/>
    </row>
    <row r="47" spans="1:4" s="39" customFormat="1" ht="18.75" customHeight="1">
      <c r="A47" s="23"/>
      <c r="B47" s="22"/>
      <c r="C47" s="22"/>
      <c r="D47" s="22"/>
    </row>
    <row r="48" spans="1:4" ht="15.75">
      <c r="A48" s="37" t="s">
        <v>135</v>
      </c>
      <c r="B48" s="38" t="s">
        <v>101</v>
      </c>
      <c r="C48" s="119">
        <f>7859.6*12+18000</f>
        <v>112315.20000000001</v>
      </c>
      <c r="D48" s="44">
        <v>111826.37</v>
      </c>
    </row>
    <row r="49" spans="1:4" s="39" customFormat="1" ht="15.75">
      <c r="A49" s="23"/>
      <c r="B49" s="22"/>
      <c r="C49" s="22"/>
      <c r="D49" s="22"/>
    </row>
    <row r="50" spans="1:4" s="39" customFormat="1" ht="15.75">
      <c r="A50" s="37" t="s">
        <v>449</v>
      </c>
      <c r="B50" s="38" t="s">
        <v>451</v>
      </c>
      <c r="C50" s="42"/>
      <c r="D50" s="195">
        <v>39337.2</v>
      </c>
    </row>
    <row r="51" spans="1:4" s="39" customFormat="1" ht="15.75">
      <c r="A51" s="23"/>
      <c r="B51" s="22"/>
      <c r="C51" s="22"/>
      <c r="D51" s="22"/>
    </row>
    <row r="52" spans="1:6" s="39" customFormat="1" ht="15.75">
      <c r="A52" s="213" t="s">
        <v>144</v>
      </c>
      <c r="B52" s="213"/>
      <c r="C52" s="42">
        <f>C48+C20</f>
        <v>859236.1090000002</v>
      </c>
      <c r="D52" s="42">
        <f>D48+D20</f>
        <v>845674.048</v>
      </c>
      <c r="F52" s="39" t="s">
        <v>343</v>
      </c>
    </row>
    <row r="53" spans="1:4" s="39" customFormat="1" ht="15.75">
      <c r="A53" s="37" t="s">
        <v>450</v>
      </c>
      <c r="B53" s="38" t="s">
        <v>325</v>
      </c>
      <c r="C53" s="42">
        <v>0</v>
      </c>
      <c r="D53" s="155">
        <f>7377.06</f>
        <v>7377.06</v>
      </c>
    </row>
    <row r="55" spans="1:4" s="39" customFormat="1" ht="15.75">
      <c r="A55" s="37" t="s">
        <v>453</v>
      </c>
      <c r="B55" s="38" t="s">
        <v>394</v>
      </c>
      <c r="C55" s="42">
        <v>0</v>
      </c>
      <c r="D55" s="155">
        <v>64618.29</v>
      </c>
    </row>
    <row r="57" spans="1:4" ht="15.75">
      <c r="A57" s="37" t="s">
        <v>454</v>
      </c>
      <c r="B57" s="38" t="s">
        <v>452</v>
      </c>
      <c r="C57" s="42">
        <v>0</v>
      </c>
      <c r="D57" s="155">
        <v>5758.61</v>
      </c>
    </row>
    <row r="59" spans="1:4" ht="15.75">
      <c r="A59" s="37" t="s">
        <v>455</v>
      </c>
      <c r="B59" s="38" t="s">
        <v>393</v>
      </c>
      <c r="C59" s="42">
        <v>0</v>
      </c>
      <c r="D59" s="155">
        <v>3425.18</v>
      </c>
    </row>
    <row r="60" spans="1:4" ht="15.75">
      <c r="A60" s="196"/>
      <c r="B60" s="197"/>
      <c r="C60" s="198"/>
      <c r="D60" s="199"/>
    </row>
    <row r="61" spans="1:4" ht="15.75">
      <c r="A61" s="37" t="s">
        <v>456</v>
      </c>
      <c r="B61" s="38" t="s">
        <v>457</v>
      </c>
      <c r="C61" s="42">
        <v>0</v>
      </c>
      <c r="D61" s="155">
        <v>85137.41</v>
      </c>
    </row>
    <row r="63" spans="1:4" ht="15.75">
      <c r="A63" s="37" t="s">
        <v>459</v>
      </c>
      <c r="B63" s="154" t="s">
        <v>396</v>
      </c>
      <c r="C63" s="42">
        <v>0</v>
      </c>
      <c r="D63" s="155">
        <v>35680.95</v>
      </c>
    </row>
    <row r="65" spans="1:4" ht="15.75">
      <c r="A65" s="37" t="s">
        <v>460</v>
      </c>
      <c r="B65" s="154" t="s">
        <v>458</v>
      </c>
      <c r="C65" s="42">
        <v>0</v>
      </c>
      <c r="D65" s="155">
        <v>5326.28</v>
      </c>
    </row>
    <row r="67" spans="1:4" ht="15.75">
      <c r="A67" s="213" t="s">
        <v>144</v>
      </c>
      <c r="B67" s="213"/>
      <c r="C67" s="42">
        <f>C50+C20</f>
        <v>746920.9090000001</v>
      </c>
      <c r="D67" s="44">
        <f>D48+D20+D53+D55+D57+D59+D61+D63+D65</f>
        <v>1052997.828</v>
      </c>
    </row>
    <row r="70" spans="1:4" s="2" customFormat="1" ht="15.75">
      <c r="A70" s="207" t="s">
        <v>378</v>
      </c>
      <c r="B70" s="208"/>
      <c r="C70" s="209"/>
      <c r="D70" s="173">
        <f>C7+C8+C9+C10+C11+C12+C13+C14+C15+C16-D67</f>
        <v>-3321.3489999996964</v>
      </c>
    </row>
    <row r="71" spans="1:4" s="2" customFormat="1" ht="15.75">
      <c r="A71" s="184" t="s">
        <v>379</v>
      </c>
      <c r="B71" s="185"/>
      <c r="C71" s="186"/>
      <c r="D71" s="173">
        <v>-94239.15</v>
      </c>
    </row>
    <row r="72" spans="1:4" s="2" customFormat="1" ht="15.75">
      <c r="A72" s="156"/>
      <c r="B72" s="157"/>
      <c r="C72" s="157"/>
      <c r="D72" s="157"/>
    </row>
    <row r="73" spans="1:4" s="2" customFormat="1" ht="15.75">
      <c r="A73" s="156"/>
      <c r="B73" s="157" t="s">
        <v>322</v>
      </c>
      <c r="C73" s="157"/>
      <c r="D73" s="157"/>
    </row>
  </sheetData>
  <sheetProtection/>
  <mergeCells count="7">
    <mergeCell ref="A1:D1"/>
    <mergeCell ref="A2:D2"/>
    <mergeCell ref="A3:D3"/>
    <mergeCell ref="A67:B67"/>
    <mergeCell ref="A70:C70"/>
    <mergeCell ref="A52:B52"/>
    <mergeCell ref="D33:D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23">
      <selection activeCell="C40" sqref="C40"/>
    </sheetView>
  </sheetViews>
  <sheetFormatPr defaultColWidth="9.140625" defaultRowHeight="12.75"/>
  <cols>
    <col min="1" max="1" width="7.28125" style="23" customWidth="1"/>
    <col min="2" max="2" width="47.8515625" style="22" customWidth="1"/>
    <col min="3" max="4" width="18.421875" style="22" customWidth="1"/>
    <col min="5" max="16384" width="9.140625" style="22" customWidth="1"/>
  </cols>
  <sheetData>
    <row r="1" spans="1:4" ht="15.75">
      <c r="A1" s="210" t="s">
        <v>68</v>
      </c>
      <c r="B1" s="210"/>
      <c r="C1" s="210"/>
      <c r="D1" s="210"/>
    </row>
    <row r="2" spans="1:4" ht="15.75">
      <c r="A2" s="210" t="s">
        <v>69</v>
      </c>
      <c r="B2" s="210"/>
      <c r="C2" s="210"/>
      <c r="D2" s="210"/>
    </row>
    <row r="3" spans="1:4" ht="15.75">
      <c r="A3" s="210" t="s">
        <v>380</v>
      </c>
      <c r="B3" s="210"/>
      <c r="C3" s="210"/>
      <c r="D3" s="210"/>
    </row>
    <row r="4" ht="15.75">
      <c r="D4" s="25" t="s">
        <v>16</v>
      </c>
    </row>
    <row r="5" spans="1:4" s="32" customFormat="1" ht="47.25">
      <c r="A5" s="30" t="s">
        <v>71</v>
      </c>
      <c r="B5" s="30" t="s">
        <v>72</v>
      </c>
      <c r="C5" s="30" t="s">
        <v>73</v>
      </c>
      <c r="D5" s="31" t="s">
        <v>131</v>
      </c>
    </row>
    <row r="6" spans="1:8" s="34" customFormat="1" ht="12.75">
      <c r="A6" s="33">
        <v>1</v>
      </c>
      <c r="B6" s="33">
        <v>2</v>
      </c>
      <c r="C6" s="33">
        <v>3</v>
      </c>
      <c r="D6" s="33">
        <v>4</v>
      </c>
      <c r="H6" s="34">
        <f>15.5*H7*12</f>
        <v>832424.3999999999</v>
      </c>
    </row>
    <row r="7" spans="1:9" s="39" customFormat="1" ht="15.75">
      <c r="A7" s="37" t="s">
        <v>74</v>
      </c>
      <c r="B7" s="38" t="s">
        <v>75</v>
      </c>
      <c r="C7" s="119">
        <f>C8</f>
        <v>746920.9090000001</v>
      </c>
      <c r="D7" s="30"/>
      <c r="G7" s="39" t="s">
        <v>22</v>
      </c>
      <c r="H7" s="39">
        <f>2336.4+2139</f>
        <v>4475.4</v>
      </c>
      <c r="I7" s="39" t="s">
        <v>11</v>
      </c>
    </row>
    <row r="8" spans="1:4" ht="15.75">
      <c r="A8" s="28" t="s">
        <v>79</v>
      </c>
      <c r="B8" s="46" t="s">
        <v>76</v>
      </c>
      <c r="C8" s="120">
        <f>C10</f>
        <v>746920.9090000001</v>
      </c>
      <c r="D8" s="28"/>
    </row>
    <row r="9" spans="1:4" ht="48" customHeight="1">
      <c r="A9" s="28" t="s">
        <v>81</v>
      </c>
      <c r="B9" s="35" t="s">
        <v>77</v>
      </c>
      <c r="C9" s="121" t="s">
        <v>78</v>
      </c>
      <c r="D9" s="29" t="s">
        <v>129</v>
      </c>
    </row>
    <row r="10" spans="1:4" s="39" customFormat="1" ht="15.75">
      <c r="A10" s="37" t="s">
        <v>82</v>
      </c>
      <c r="B10" s="38" t="s">
        <v>80</v>
      </c>
      <c r="C10" s="119">
        <f>C11+C16+C17+C21+C22+C26+C28+C31+C32+C34+C35+C33</f>
        <v>746920.9090000001</v>
      </c>
      <c r="D10" s="44">
        <f>C10/12/H7</f>
        <v>13.907898530485173</v>
      </c>
    </row>
    <row r="11" spans="1:6" s="39" customFormat="1" ht="15.75">
      <c r="A11" s="37" t="s">
        <v>83</v>
      </c>
      <c r="B11" s="38" t="s">
        <v>84</v>
      </c>
      <c r="C11" s="119">
        <f>SUM(C12:C15)</f>
        <v>300524.5</v>
      </c>
      <c r="D11" s="44">
        <f>C11/12/H7</f>
        <v>5.5958592155636</v>
      </c>
      <c r="F11" s="39">
        <f>3.58-0.09</f>
        <v>3.49</v>
      </c>
    </row>
    <row r="12" spans="1:4" ht="15.75">
      <c r="A12" s="27" t="s">
        <v>93</v>
      </c>
      <c r="B12" s="24" t="s">
        <v>86</v>
      </c>
      <c r="C12" s="120">
        <v>103534.5</v>
      </c>
      <c r="D12" s="28"/>
    </row>
    <row r="13" spans="1:5" ht="15.75">
      <c r="A13" s="27" t="s">
        <v>94</v>
      </c>
      <c r="B13" s="24" t="s">
        <v>88</v>
      </c>
      <c r="C13" s="120">
        <v>180000</v>
      </c>
      <c r="D13" s="28"/>
      <c r="E13" s="22" t="s">
        <v>133</v>
      </c>
    </row>
    <row r="14" spans="1:4" ht="15.75">
      <c r="A14" s="27" t="s">
        <v>95</v>
      </c>
      <c r="B14" s="24" t="s">
        <v>90</v>
      </c>
      <c r="C14" s="120">
        <v>8990</v>
      </c>
      <c r="D14" s="28"/>
    </row>
    <row r="15" spans="1:6" ht="15.75">
      <c r="A15" s="27" t="s">
        <v>96</v>
      </c>
      <c r="B15" s="24" t="s">
        <v>145</v>
      </c>
      <c r="C15" s="120">
        <v>8000</v>
      </c>
      <c r="D15" s="28"/>
      <c r="F15" s="22">
        <v>0.39</v>
      </c>
    </row>
    <row r="16" spans="1:7" s="39" customFormat="1" ht="31.5">
      <c r="A16" s="30" t="s">
        <v>85</v>
      </c>
      <c r="B16" s="40" t="s">
        <v>97</v>
      </c>
      <c r="C16" s="119">
        <f>E16*12+500*12</f>
        <v>62736</v>
      </c>
      <c r="D16" s="44">
        <f>C16/12/H7</f>
        <v>1.1681637395540065</v>
      </c>
      <c r="E16" s="22">
        <v>4728</v>
      </c>
      <c r="F16" s="22" t="s">
        <v>128</v>
      </c>
      <c r="G16" s="22"/>
    </row>
    <row r="17" spans="1:7" s="39" customFormat="1" ht="15.75">
      <c r="A17" s="37" t="s">
        <v>87</v>
      </c>
      <c r="B17" s="38" t="s">
        <v>110</v>
      </c>
      <c r="C17" s="119">
        <f>SUM(C18:C20)</f>
        <v>101876</v>
      </c>
      <c r="D17" s="44">
        <f>C17/12/H7</f>
        <v>1.8969626551071785</v>
      </c>
      <c r="E17" s="22"/>
      <c r="F17" s="22"/>
      <c r="G17" s="22"/>
    </row>
    <row r="18" spans="1:7" ht="31.5">
      <c r="A18" s="28" t="s">
        <v>98</v>
      </c>
      <c r="B18" s="26" t="s">
        <v>99</v>
      </c>
      <c r="C18" s="120">
        <f>5123*12+500*12+1200*12</f>
        <v>81876</v>
      </c>
      <c r="D18" s="28"/>
      <c r="E18" s="22">
        <v>5123</v>
      </c>
      <c r="F18" s="22" t="s">
        <v>127</v>
      </c>
      <c r="G18" s="22" t="s">
        <v>137</v>
      </c>
    </row>
    <row r="19" spans="1:5" ht="15.75">
      <c r="A19" s="36" t="s">
        <v>100</v>
      </c>
      <c r="B19" s="24" t="s">
        <v>132</v>
      </c>
      <c r="C19" s="120">
        <v>3000</v>
      </c>
      <c r="D19" s="28"/>
      <c r="E19" s="22" t="s">
        <v>126</v>
      </c>
    </row>
    <row r="20" spans="1:5" ht="15.75">
      <c r="A20" s="36" t="s">
        <v>334</v>
      </c>
      <c r="B20" s="24" t="s">
        <v>335</v>
      </c>
      <c r="C20" s="120">
        <v>17000</v>
      </c>
      <c r="D20" s="28"/>
      <c r="E20" s="22" t="s">
        <v>126</v>
      </c>
    </row>
    <row r="21" spans="1:4" s="39" customFormat="1" ht="15.75">
      <c r="A21" s="37" t="s">
        <v>89</v>
      </c>
      <c r="B21" s="38" t="s">
        <v>103</v>
      </c>
      <c r="C21" s="119">
        <f>0.22*12*H7</f>
        <v>11815.056</v>
      </c>
      <c r="D21" s="44">
        <f>C21/12/H7</f>
        <v>0.22000000000000003</v>
      </c>
    </row>
    <row r="22" spans="1:4" s="39" customFormat="1" ht="31.5">
      <c r="A22" s="30" t="s">
        <v>91</v>
      </c>
      <c r="B22" s="40" t="s">
        <v>109</v>
      </c>
      <c r="C22" s="119">
        <f>SUM(C23:C25)</f>
        <v>48000</v>
      </c>
      <c r="D22" s="44">
        <f>C22/12/H7</f>
        <v>0.8937748581132413</v>
      </c>
    </row>
    <row r="23" spans="1:4" ht="15.75">
      <c r="A23" s="27" t="s">
        <v>138</v>
      </c>
      <c r="B23" s="24" t="s">
        <v>142</v>
      </c>
      <c r="C23" s="120">
        <f>5000</f>
        <v>5000</v>
      </c>
      <c r="D23" s="28"/>
    </row>
    <row r="24" spans="1:4" ht="15.75">
      <c r="A24" s="27" t="s">
        <v>139</v>
      </c>
      <c r="B24" s="24" t="s">
        <v>143</v>
      </c>
      <c r="C24" s="120">
        <f>4000</f>
        <v>4000</v>
      </c>
      <c r="D24" s="28"/>
    </row>
    <row r="25" spans="1:4" ht="15.75">
      <c r="A25" s="27" t="s">
        <v>140</v>
      </c>
      <c r="B25" s="24" t="s">
        <v>104</v>
      </c>
      <c r="C25" s="120">
        <v>39000</v>
      </c>
      <c r="D25" s="28"/>
    </row>
    <row r="26" spans="1:4" s="39" customFormat="1" ht="31.5">
      <c r="A26" s="30" t="s">
        <v>92</v>
      </c>
      <c r="B26" s="40" t="s">
        <v>108</v>
      </c>
      <c r="C26" s="119">
        <f>C27</f>
        <v>1500</v>
      </c>
      <c r="D26" s="44">
        <f>C26/12/H7</f>
        <v>0.02793046431603879</v>
      </c>
    </row>
    <row r="27" spans="1:4" ht="15.75">
      <c r="A27" s="28" t="s">
        <v>105</v>
      </c>
      <c r="B27" s="26" t="s">
        <v>336</v>
      </c>
      <c r="C27" s="120">
        <v>1500</v>
      </c>
      <c r="D27" s="28"/>
    </row>
    <row r="28" spans="1:4" s="39" customFormat="1" ht="15.75">
      <c r="A28" s="37" t="s">
        <v>106</v>
      </c>
      <c r="B28" s="38" t="s">
        <v>107</v>
      </c>
      <c r="C28" s="119">
        <f>C29+C30</f>
        <v>71171.20000000001</v>
      </c>
      <c r="D28" s="44">
        <f>C28/12/H7</f>
        <v>1.3252297746197736</v>
      </c>
    </row>
    <row r="29" spans="1:4" ht="31.5">
      <c r="A29" s="41" t="s">
        <v>111</v>
      </c>
      <c r="B29" s="26" t="s">
        <v>113</v>
      </c>
      <c r="C29" s="120">
        <f>5097.6*12</f>
        <v>61171.200000000004</v>
      </c>
      <c r="D29" s="28"/>
    </row>
    <row r="30" spans="1:4" ht="31.5">
      <c r="A30" s="28" t="s">
        <v>114</v>
      </c>
      <c r="B30" s="26" t="s">
        <v>115</v>
      </c>
      <c r="C30" s="120">
        <v>10000</v>
      </c>
      <c r="D30" s="28"/>
    </row>
    <row r="31" spans="1:4" s="39" customFormat="1" ht="15.75">
      <c r="A31" s="37" t="s">
        <v>116</v>
      </c>
      <c r="B31" s="38" t="s">
        <v>117</v>
      </c>
      <c r="C31" s="119">
        <v>5000</v>
      </c>
      <c r="D31" s="44">
        <f>C31/H7/12</f>
        <v>0.09310154772012931</v>
      </c>
    </row>
    <row r="32" spans="1:4" s="39" customFormat="1" ht="31.5">
      <c r="A32" s="30" t="s">
        <v>118</v>
      </c>
      <c r="B32" s="40" t="s">
        <v>119</v>
      </c>
      <c r="C32" s="119">
        <f>1600*12</f>
        <v>19200</v>
      </c>
      <c r="D32" s="44">
        <f>C32/12/H7</f>
        <v>0.35750994324529656</v>
      </c>
    </row>
    <row r="33" spans="1:4" s="39" customFormat="1" ht="18.75" customHeight="1">
      <c r="A33" s="30" t="s">
        <v>120</v>
      </c>
      <c r="B33" s="40" t="s">
        <v>136</v>
      </c>
      <c r="C33" s="119">
        <v>35000</v>
      </c>
      <c r="D33" s="44">
        <f>C33/12/H7</f>
        <v>0.6517108340409051</v>
      </c>
    </row>
    <row r="34" spans="1:4" s="39" customFormat="1" ht="15.75">
      <c r="A34" s="37" t="s">
        <v>122</v>
      </c>
      <c r="B34" s="38" t="s">
        <v>121</v>
      </c>
      <c r="C34" s="119">
        <v>500</v>
      </c>
      <c r="D34" s="44">
        <f>C34/12/H7</f>
        <v>0.00931015477201293</v>
      </c>
    </row>
    <row r="35" spans="1:4" s="39" customFormat="1" ht="15.75">
      <c r="A35" s="37" t="s">
        <v>125</v>
      </c>
      <c r="B35" s="38" t="s">
        <v>123</v>
      </c>
      <c r="C35" s="119">
        <f>2241*12+17241*0.202*12+C12*0.202</f>
        <v>89598.153</v>
      </c>
      <c r="D35" s="44">
        <f>C35/12/H7</f>
        <v>1.6683453434329896</v>
      </c>
    </row>
    <row r="37" spans="1:4" s="39" customFormat="1" ht="15.75">
      <c r="A37" s="37" t="s">
        <v>135</v>
      </c>
      <c r="B37" s="38" t="s">
        <v>101</v>
      </c>
      <c r="C37" s="119">
        <f>7859.6*12+18000</f>
        <v>112315.20000000001</v>
      </c>
      <c r="D37" s="44">
        <f>C37/12/H7</f>
        <v>2.0913437904991734</v>
      </c>
    </row>
    <row r="39" spans="1:4" ht="15.75">
      <c r="A39" s="213" t="s">
        <v>144</v>
      </c>
      <c r="B39" s="213"/>
      <c r="C39" s="42">
        <f>C37+C10</f>
        <v>859236.1090000002</v>
      </c>
      <c r="D39" s="44">
        <f>D37+D10</f>
        <v>15.999242320984347</v>
      </c>
    </row>
  </sheetData>
  <sheetProtection/>
  <mergeCells count="4">
    <mergeCell ref="A1:D1"/>
    <mergeCell ref="A2:D2"/>
    <mergeCell ref="A3:D3"/>
    <mergeCell ref="A39:B39"/>
  </mergeCells>
  <printOptions/>
  <pageMargins left="0.6299212598425197" right="0.2362204724409449" top="0.35433070866141736" bottom="0.35433070866141736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zoomScalePageLayoutView="0" workbookViewId="0" topLeftCell="A1">
      <selection activeCell="H29" sqref="H29"/>
    </sheetView>
  </sheetViews>
  <sheetFormatPr defaultColWidth="9.140625" defaultRowHeight="12.75"/>
  <cols>
    <col min="1" max="1" width="7.28125" style="23" customWidth="1"/>
    <col min="2" max="2" width="47.8515625" style="22" customWidth="1"/>
    <col min="3" max="4" width="18.421875" style="22" customWidth="1"/>
    <col min="5" max="16384" width="9.140625" style="22" customWidth="1"/>
  </cols>
  <sheetData>
    <row r="1" spans="1:4" ht="15.75">
      <c r="A1" s="210" t="s">
        <v>68</v>
      </c>
      <c r="B1" s="210"/>
      <c r="C1" s="210"/>
      <c r="D1" s="210"/>
    </row>
    <row r="2" spans="1:4" ht="15.75">
      <c r="A2" s="210" t="s">
        <v>69</v>
      </c>
      <c r="B2" s="210"/>
      <c r="C2" s="210"/>
      <c r="D2" s="210"/>
    </row>
    <row r="3" spans="1:4" ht="15.75">
      <c r="A3" s="210" t="s">
        <v>337</v>
      </c>
      <c r="B3" s="210"/>
      <c r="C3" s="210"/>
      <c r="D3" s="210"/>
    </row>
    <row r="4" ht="15.75">
      <c r="D4" s="25" t="s">
        <v>16</v>
      </c>
    </row>
    <row r="5" spans="1:4" s="32" customFormat="1" ht="47.25">
      <c r="A5" s="30" t="s">
        <v>71</v>
      </c>
      <c r="B5" s="30" t="s">
        <v>72</v>
      </c>
      <c r="C5" s="30" t="s">
        <v>73</v>
      </c>
      <c r="D5" s="31" t="s">
        <v>131</v>
      </c>
    </row>
    <row r="6" spans="1:8" s="34" customFormat="1" ht="12.75">
      <c r="A6" s="33">
        <v>1</v>
      </c>
      <c r="B6" s="33">
        <v>2</v>
      </c>
      <c r="C6" s="33">
        <v>3</v>
      </c>
      <c r="D6" s="33">
        <v>4</v>
      </c>
      <c r="H6" s="34">
        <f>15.5*H7*12</f>
        <v>831494.3999999999</v>
      </c>
    </row>
    <row r="7" spans="1:9" s="39" customFormat="1" ht="15.75">
      <c r="A7" s="37" t="s">
        <v>74</v>
      </c>
      <c r="B7" s="38" t="s">
        <v>75</v>
      </c>
      <c r="C7" s="42">
        <f>C8</f>
        <v>745971.261</v>
      </c>
      <c r="D7" s="30"/>
      <c r="G7" s="39" t="s">
        <v>22</v>
      </c>
      <c r="H7" s="39">
        <f>2335+2135.4</f>
        <v>4470.4</v>
      </c>
      <c r="I7" s="39" t="s">
        <v>11</v>
      </c>
    </row>
    <row r="8" spans="1:4" ht="15.75">
      <c r="A8" s="28" t="s">
        <v>79</v>
      </c>
      <c r="B8" s="46" t="s">
        <v>76</v>
      </c>
      <c r="C8" s="43">
        <f>C10</f>
        <v>745971.261</v>
      </c>
      <c r="D8" s="28"/>
    </row>
    <row r="9" spans="1:8" ht="48" customHeight="1">
      <c r="A9" s="28" t="s">
        <v>81</v>
      </c>
      <c r="B9" s="35" t="s">
        <v>77</v>
      </c>
      <c r="C9" s="29" t="s">
        <v>78</v>
      </c>
      <c r="D9" s="29" t="s">
        <v>129</v>
      </c>
      <c r="H9" s="22">
        <f>C12/H7/12</f>
        <v>1.9300006710808877</v>
      </c>
    </row>
    <row r="10" spans="1:4" s="39" customFormat="1" ht="15.75">
      <c r="A10" s="37" t="s">
        <v>82</v>
      </c>
      <c r="B10" s="38" t="s">
        <v>80</v>
      </c>
      <c r="C10" s="42">
        <f>C11+C16+C17+C20+C21+C26+C29+C32+C33+C35+C36+C34</f>
        <v>745971.261</v>
      </c>
      <c r="D10" s="44">
        <f>C10/12/H7</f>
        <v>13.905751554670726</v>
      </c>
    </row>
    <row r="11" spans="1:6" s="39" customFormat="1" ht="15.75">
      <c r="A11" s="37" t="s">
        <v>83</v>
      </c>
      <c r="B11" s="38" t="s">
        <v>84</v>
      </c>
      <c r="C11" s="42">
        <f>SUM(C12:C15)</f>
        <v>302524.5</v>
      </c>
      <c r="D11" s="44">
        <f>C11/12/H7</f>
        <v>5.6394002773801</v>
      </c>
      <c r="F11" s="39">
        <f>3.58-0.09</f>
        <v>3.49</v>
      </c>
    </row>
    <row r="12" spans="1:4" ht="15.75">
      <c r="A12" s="27" t="s">
        <v>93</v>
      </c>
      <c r="B12" s="24" t="s">
        <v>86</v>
      </c>
      <c r="C12" s="43">
        <v>103534.5</v>
      </c>
      <c r="D12" s="28"/>
    </row>
    <row r="13" spans="1:5" ht="15.75">
      <c r="A13" s="27" t="s">
        <v>94</v>
      </c>
      <c r="B13" s="24" t="s">
        <v>88</v>
      </c>
      <c r="C13" s="43">
        <v>180000</v>
      </c>
      <c r="D13" s="28"/>
      <c r="E13" s="22" t="s">
        <v>133</v>
      </c>
    </row>
    <row r="14" spans="1:4" ht="15.75">
      <c r="A14" s="27" t="s">
        <v>95</v>
      </c>
      <c r="B14" s="24" t="s">
        <v>90</v>
      </c>
      <c r="C14" s="43">
        <v>8990</v>
      </c>
      <c r="D14" s="28"/>
    </row>
    <row r="15" spans="1:6" ht="15.75">
      <c r="A15" s="27" t="s">
        <v>96</v>
      </c>
      <c r="B15" s="24" t="s">
        <v>145</v>
      </c>
      <c r="C15" s="43">
        <v>10000</v>
      </c>
      <c r="D15" s="28"/>
      <c r="F15" s="22">
        <v>0.39</v>
      </c>
    </row>
    <row r="16" spans="1:7" s="39" customFormat="1" ht="31.5">
      <c r="A16" s="30" t="s">
        <v>85</v>
      </c>
      <c r="B16" s="40" t="s">
        <v>97</v>
      </c>
      <c r="C16" s="42">
        <f>E16*12+500*12</f>
        <v>62736</v>
      </c>
      <c r="D16" s="44">
        <f>C16/12/H7</f>
        <v>1.1694702934860417</v>
      </c>
      <c r="E16" s="22">
        <v>4728</v>
      </c>
      <c r="F16" s="22" t="s">
        <v>128</v>
      </c>
      <c r="G16" s="22"/>
    </row>
    <row r="17" spans="1:7" s="39" customFormat="1" ht="15.75">
      <c r="A17" s="37" t="s">
        <v>87</v>
      </c>
      <c r="B17" s="38" t="s">
        <v>110</v>
      </c>
      <c r="C17" s="42">
        <f>SUM(C18:C19)</f>
        <v>86876</v>
      </c>
      <c r="D17" s="44">
        <f>C17/12/H7</f>
        <v>1.619467310904319</v>
      </c>
      <c r="E17" s="22"/>
      <c r="F17" s="22"/>
      <c r="G17" s="22"/>
    </row>
    <row r="18" spans="1:7" ht="31.5">
      <c r="A18" s="28" t="s">
        <v>98</v>
      </c>
      <c r="B18" s="26" t="s">
        <v>99</v>
      </c>
      <c r="C18" s="43">
        <f>5123*12+500*12+1200*12</f>
        <v>81876</v>
      </c>
      <c r="D18" s="28"/>
      <c r="E18" s="22">
        <v>5123</v>
      </c>
      <c r="F18" s="22" t="s">
        <v>127</v>
      </c>
      <c r="G18" s="22" t="s">
        <v>137</v>
      </c>
    </row>
    <row r="19" spans="1:5" ht="15.75">
      <c r="A19" s="36" t="s">
        <v>100</v>
      </c>
      <c r="B19" s="24" t="s">
        <v>132</v>
      </c>
      <c r="C19" s="43">
        <v>5000</v>
      </c>
      <c r="D19" s="28"/>
      <c r="E19" s="22" t="s">
        <v>126</v>
      </c>
    </row>
    <row r="20" spans="1:4" s="39" customFormat="1" ht="15.75">
      <c r="A20" s="37" t="s">
        <v>89</v>
      </c>
      <c r="B20" s="38" t="s">
        <v>102</v>
      </c>
      <c r="C20" s="42">
        <v>10000</v>
      </c>
      <c r="D20" s="44">
        <f>C20/12/H7</f>
        <v>0.1864113576712002</v>
      </c>
    </row>
    <row r="21" spans="1:4" s="39" customFormat="1" ht="31.5">
      <c r="A21" s="30" t="s">
        <v>91</v>
      </c>
      <c r="B21" s="40" t="s">
        <v>109</v>
      </c>
      <c r="C21" s="42">
        <f>SUM(C22:C25)</f>
        <v>30265.408</v>
      </c>
      <c r="D21" s="44">
        <f>C21/12/H7</f>
        <v>0.5641815795752804</v>
      </c>
    </row>
    <row r="22" spans="1:5" ht="15.75">
      <c r="A22" s="27" t="s">
        <v>138</v>
      </c>
      <c r="B22" s="24" t="s">
        <v>103</v>
      </c>
      <c r="C22" s="43">
        <f>0.21*12*H7</f>
        <v>11265.408</v>
      </c>
      <c r="D22" s="28"/>
      <c r="E22" s="22">
        <v>0.21</v>
      </c>
    </row>
    <row r="23" spans="1:4" ht="15.75">
      <c r="A23" s="27" t="s">
        <v>139</v>
      </c>
      <c r="B23" s="24" t="s">
        <v>142</v>
      </c>
      <c r="C23" s="43">
        <f>5000</f>
        <v>5000</v>
      </c>
      <c r="D23" s="28"/>
    </row>
    <row r="24" spans="1:4" ht="15.75">
      <c r="A24" s="27" t="s">
        <v>140</v>
      </c>
      <c r="B24" s="24" t="s">
        <v>143</v>
      </c>
      <c r="C24" s="43">
        <f>4000</f>
        <v>4000</v>
      </c>
      <c r="D24" s="28"/>
    </row>
    <row r="25" spans="1:4" ht="15.75">
      <c r="A25" s="27" t="s">
        <v>141</v>
      </c>
      <c r="B25" s="24" t="s">
        <v>104</v>
      </c>
      <c r="C25" s="43">
        <v>10000</v>
      </c>
      <c r="D25" s="28"/>
    </row>
    <row r="26" spans="1:4" s="39" customFormat="1" ht="31.5">
      <c r="A26" s="30" t="s">
        <v>92</v>
      </c>
      <c r="B26" s="40" t="s">
        <v>108</v>
      </c>
      <c r="C26" s="42">
        <f>C27+C28</f>
        <v>25500</v>
      </c>
      <c r="D26" s="44">
        <f>C26/12/H7</f>
        <v>0.4753489620615605</v>
      </c>
    </row>
    <row r="27" spans="1:4" ht="31.5">
      <c r="A27" s="28" t="s">
        <v>105</v>
      </c>
      <c r="B27" s="26" t="s">
        <v>112</v>
      </c>
      <c r="C27" s="43">
        <v>4000</v>
      </c>
      <c r="D27" s="28"/>
    </row>
    <row r="28" spans="1:4" ht="31.5">
      <c r="A28" s="28" t="s">
        <v>124</v>
      </c>
      <c r="B28" s="26" t="s">
        <v>134</v>
      </c>
      <c r="C28" s="45">
        <v>21500</v>
      </c>
      <c r="D28" s="28"/>
    </row>
    <row r="29" spans="1:4" s="39" customFormat="1" ht="15.75">
      <c r="A29" s="37" t="s">
        <v>106</v>
      </c>
      <c r="B29" s="38" t="s">
        <v>107</v>
      </c>
      <c r="C29" s="42">
        <f>C30+C31</f>
        <v>71171.20000000001</v>
      </c>
      <c r="D29" s="44">
        <f>C29/12/H7</f>
        <v>1.3267120019088525</v>
      </c>
    </row>
    <row r="30" spans="1:4" ht="31.5">
      <c r="A30" s="41" t="s">
        <v>111</v>
      </c>
      <c r="B30" s="26" t="s">
        <v>113</v>
      </c>
      <c r="C30" s="43">
        <f>5097.6*12</f>
        <v>61171.200000000004</v>
      </c>
      <c r="D30" s="28"/>
    </row>
    <row r="31" spans="1:4" ht="31.5">
      <c r="A31" s="28" t="s">
        <v>114</v>
      </c>
      <c r="B31" s="26" t="s">
        <v>115</v>
      </c>
      <c r="C31" s="43">
        <f>(2400+2600)*2</f>
        <v>10000</v>
      </c>
      <c r="D31" s="28"/>
    </row>
    <row r="32" spans="1:4" s="39" customFormat="1" ht="15.75">
      <c r="A32" s="37" t="s">
        <v>116</v>
      </c>
      <c r="B32" s="38" t="s">
        <v>117</v>
      </c>
      <c r="C32" s="42">
        <f>1200*1.5*12</f>
        <v>21600</v>
      </c>
      <c r="D32" s="44">
        <f>C32/H7/12</f>
        <v>0.40264853256979244</v>
      </c>
    </row>
    <row r="33" spans="1:4" s="39" customFormat="1" ht="31.5">
      <c r="A33" s="30" t="s">
        <v>118</v>
      </c>
      <c r="B33" s="40" t="s">
        <v>119</v>
      </c>
      <c r="C33" s="42">
        <f>850*12</f>
        <v>10200</v>
      </c>
      <c r="D33" s="44">
        <f>C33/12/H7</f>
        <v>0.1901395848246242</v>
      </c>
    </row>
    <row r="34" spans="1:4" s="39" customFormat="1" ht="18.75" customHeight="1">
      <c r="A34" s="30" t="s">
        <v>120</v>
      </c>
      <c r="B34" s="40" t="s">
        <v>136</v>
      </c>
      <c r="C34" s="17">
        <v>35000</v>
      </c>
      <c r="D34" s="44">
        <f>C34/12/H7</f>
        <v>0.6524397518492007</v>
      </c>
    </row>
    <row r="35" spans="1:4" s="39" customFormat="1" ht="15.75">
      <c r="A35" s="37" t="s">
        <v>122</v>
      </c>
      <c r="B35" s="38" t="s">
        <v>121</v>
      </c>
      <c r="C35" s="42">
        <v>500</v>
      </c>
      <c r="D35" s="44">
        <f>C35/12/H7</f>
        <v>0.00932056788356001</v>
      </c>
    </row>
    <row r="36" spans="1:6" s="39" customFormat="1" ht="15.75">
      <c r="A36" s="37" t="s">
        <v>125</v>
      </c>
      <c r="B36" s="38" t="s">
        <v>123</v>
      </c>
      <c r="C36" s="42">
        <f>2241*12+17241*0.202*12+C12*0.202</f>
        <v>89598.153</v>
      </c>
      <c r="D36" s="44">
        <f>C36/12/H7</f>
        <v>1.6702113345561922</v>
      </c>
      <c r="F36" s="39" t="s">
        <v>343</v>
      </c>
    </row>
    <row r="38" spans="1:4" s="39" customFormat="1" ht="15.75">
      <c r="A38" s="37" t="s">
        <v>135</v>
      </c>
      <c r="B38" s="38" t="s">
        <v>101</v>
      </c>
      <c r="C38" s="42">
        <f>7859.6*12+18000</f>
        <v>112315.20000000001</v>
      </c>
      <c r="D38" s="44">
        <f>C38/12/H7</f>
        <v>2.0936828919112385</v>
      </c>
    </row>
    <row r="40" spans="1:4" ht="15.75">
      <c r="A40" s="213" t="s">
        <v>144</v>
      </c>
      <c r="B40" s="213"/>
      <c r="C40" s="42">
        <f>C38+C10</f>
        <v>858286.4610000001</v>
      </c>
      <c r="D40" s="44">
        <f>D38+D10</f>
        <v>15.999434446581965</v>
      </c>
    </row>
  </sheetData>
  <sheetProtection/>
  <mergeCells count="4">
    <mergeCell ref="A1:D1"/>
    <mergeCell ref="A2:D2"/>
    <mergeCell ref="A3:D3"/>
    <mergeCell ref="A40:B40"/>
  </mergeCells>
  <printOptions/>
  <pageMargins left="0.6299212598425197" right="0.2362204724409449" top="0.35433070866141736" bottom="0.35433070866141736" header="0" footer="0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2"/>
  <sheetViews>
    <sheetView view="pageBreakPreview" zoomScaleSheetLayoutView="100" zoomScalePageLayoutView="0" workbookViewId="0" topLeftCell="A1">
      <selection activeCell="F10" sqref="F10:F12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6.7109375" style="2" customWidth="1"/>
    <col min="6" max="6" width="18.140625" style="2" customWidth="1"/>
    <col min="7" max="7" width="12.8515625" style="2" customWidth="1"/>
    <col min="8" max="8" width="13.7109375" style="2" bestFit="1" customWidth="1"/>
    <col min="9" max="9" width="15.57421875" style="2" customWidth="1"/>
    <col min="10" max="10" width="11.00390625" style="2" customWidth="1"/>
    <col min="11" max="16384" width="9.140625" style="2" customWidth="1"/>
  </cols>
  <sheetData>
    <row r="1" spans="1:8" ht="15.75">
      <c r="A1" s="236" t="s">
        <v>341</v>
      </c>
      <c r="B1" s="236"/>
      <c r="C1" s="236"/>
      <c r="D1" s="236"/>
      <c r="E1" s="236"/>
      <c r="F1" s="236"/>
      <c r="G1" s="140"/>
      <c r="H1" s="2" t="s">
        <v>331</v>
      </c>
    </row>
    <row r="2" spans="1:8" ht="15.75">
      <c r="A2" s="236" t="s">
        <v>62</v>
      </c>
      <c r="B2" s="236"/>
      <c r="C2" s="236"/>
      <c r="D2" s="236"/>
      <c r="E2" s="236"/>
      <c r="F2" s="236"/>
      <c r="G2" s="3"/>
      <c r="H2" s="4">
        <v>89114758510</v>
      </c>
    </row>
    <row r="3" spans="11:13" ht="12.75" customHeight="1">
      <c r="K3" s="2" t="s">
        <v>130</v>
      </c>
      <c r="M3" s="2">
        <v>5746</v>
      </c>
    </row>
    <row r="4" spans="1:13" ht="15.75">
      <c r="A4" s="6" t="s">
        <v>10</v>
      </c>
      <c r="C4" s="6"/>
      <c r="D4" s="6">
        <v>4475.4</v>
      </c>
      <c r="E4" s="6" t="s">
        <v>11</v>
      </c>
      <c r="F4" s="6"/>
      <c r="M4" s="2">
        <f>M3*9</f>
        <v>51714</v>
      </c>
    </row>
    <row r="6" spans="1:9" ht="16.5" customHeight="1">
      <c r="A6" s="3" t="s">
        <v>338</v>
      </c>
      <c r="C6" s="3"/>
      <c r="D6" s="7">
        <f>'2015 стд'!F33</f>
        <v>-4375.643999999855</v>
      </c>
      <c r="E6" s="3" t="s">
        <v>13</v>
      </c>
      <c r="F6" s="3"/>
      <c r="I6" s="19"/>
    </row>
    <row r="7" spans="1:6" ht="15.75">
      <c r="A7" s="3" t="s">
        <v>339</v>
      </c>
      <c r="C7" s="6"/>
      <c r="D7" s="8">
        <f>C13</f>
        <v>-102066.4</v>
      </c>
      <c r="E7" s="6" t="s">
        <v>15</v>
      </c>
      <c r="F7" s="6"/>
    </row>
    <row r="8" spans="2:6" ht="15.75">
      <c r="B8" s="6"/>
      <c r="C8" s="6"/>
      <c r="D8" s="6"/>
      <c r="E8" s="6"/>
      <c r="F8" s="9" t="s">
        <v>16</v>
      </c>
    </row>
    <row r="9" spans="1:8" ht="47.25">
      <c r="A9" s="1" t="s">
        <v>17</v>
      </c>
      <c r="B9" s="10" t="s">
        <v>18</v>
      </c>
      <c r="C9" s="11" t="s">
        <v>19</v>
      </c>
      <c r="D9" s="11" t="s">
        <v>0</v>
      </c>
      <c r="E9" s="11" t="s">
        <v>20</v>
      </c>
      <c r="F9" s="11" t="s">
        <v>34</v>
      </c>
      <c r="G9" s="18"/>
      <c r="H9" s="18"/>
    </row>
    <row r="10" spans="1:9" s="5" customFormat="1" ht="32.25" customHeight="1">
      <c r="A10" s="1">
        <v>1</v>
      </c>
      <c r="B10" s="97" t="s">
        <v>1</v>
      </c>
      <c r="C10" s="20">
        <v>-92403.67</v>
      </c>
      <c r="D10" s="20">
        <f>327227.33-8.39+357249.24+2.25+62183.3</f>
        <v>746653.73</v>
      </c>
      <c r="E10" s="20">
        <f>276102.58+320099.26+991.31+127606.94</f>
        <v>724800.0900000001</v>
      </c>
      <c r="F10" s="20">
        <f>C10-D10+E10</f>
        <v>-114257.30999999994</v>
      </c>
      <c r="G10" s="2" t="s">
        <v>36</v>
      </c>
      <c r="H10" s="77">
        <v>13.91</v>
      </c>
      <c r="I10" s="19">
        <f>H10*12*H19</f>
        <v>747033.768</v>
      </c>
    </row>
    <row r="11" spans="1:9" s="5" customFormat="1" ht="32.25" customHeight="1">
      <c r="A11" s="1">
        <v>2</v>
      </c>
      <c r="B11" s="97" t="s">
        <v>340</v>
      </c>
      <c r="C11" s="20">
        <v>0</v>
      </c>
      <c r="D11" s="20">
        <f>53677.52+0.33+49166.54-1.26+9343.18</f>
        <v>112186.31</v>
      </c>
      <c r="E11" s="20">
        <f>48095.64+41467.74+8267.36</f>
        <v>97830.74</v>
      </c>
      <c r="F11" s="20">
        <f>C11-D11+E11</f>
        <v>-14355.569999999992</v>
      </c>
      <c r="G11" s="2" t="s">
        <v>342</v>
      </c>
      <c r="H11" s="77">
        <v>2.09</v>
      </c>
      <c r="I11" s="19">
        <f>H11*12*H19</f>
        <v>112243.03199999998</v>
      </c>
    </row>
    <row r="12" spans="1:9" s="5" customFormat="1" ht="32.25" customHeight="1">
      <c r="A12" s="1">
        <v>3</v>
      </c>
      <c r="B12" s="97" t="s">
        <v>325</v>
      </c>
      <c r="C12" s="20">
        <v>-9662.73</v>
      </c>
      <c r="D12" s="20">
        <f>25564.56+3474.85+33243.81-0.88+3503.98+5310.73</f>
        <v>71097.05</v>
      </c>
      <c r="E12" s="20">
        <f>25946.61+30612.93+11794.02</f>
        <v>68353.56</v>
      </c>
      <c r="F12" s="20">
        <f>C12-D12+E12</f>
        <v>-12406.220000000001</v>
      </c>
      <c r="G12" s="2"/>
      <c r="H12" s="77">
        <v>15.5</v>
      </c>
      <c r="I12" s="19">
        <f>H12*12*H19</f>
        <v>832424.3999999999</v>
      </c>
    </row>
    <row r="13" spans="1:13" s="117" customFormat="1" ht="30" customHeight="1">
      <c r="A13" s="115"/>
      <c r="B13" s="13" t="s">
        <v>2</v>
      </c>
      <c r="C13" s="116">
        <f>C10+C12</f>
        <v>-102066.4</v>
      </c>
      <c r="D13" s="116">
        <f>D10+D12+D11</f>
        <v>929937.0900000001</v>
      </c>
      <c r="E13" s="116">
        <f>E10+E12+E11</f>
        <v>890984.3900000001</v>
      </c>
      <c r="F13" s="141">
        <f>C13-D13+E13</f>
        <v>-141019.09999999998</v>
      </c>
      <c r="G13" s="3" t="s">
        <v>37</v>
      </c>
      <c r="H13" s="15">
        <f>1.94+4.78</f>
        <v>6.720000000000001</v>
      </c>
      <c r="I13" s="19">
        <f>H13*12*H19</f>
        <v>360896.25600000005</v>
      </c>
      <c r="L13" s="12"/>
      <c r="M13" s="12"/>
    </row>
    <row r="14" spans="7:9" ht="19.5" customHeight="1">
      <c r="G14" s="6"/>
      <c r="I14" s="18"/>
    </row>
    <row r="15" spans="7:9" ht="19.5" customHeight="1">
      <c r="G15" s="6"/>
      <c r="I15" s="18">
        <f>3*H19*12</f>
        <v>161114.4</v>
      </c>
    </row>
    <row r="16" spans="1:6" ht="11.25" customHeight="1">
      <c r="A16" s="236" t="s">
        <v>21</v>
      </c>
      <c r="B16" s="236"/>
      <c r="C16" s="236"/>
      <c r="D16" s="236"/>
      <c r="E16" s="236"/>
      <c r="F16" s="236"/>
    </row>
    <row r="17" spans="1:6" ht="15.75">
      <c r="A17" s="140"/>
      <c r="B17" s="140"/>
      <c r="C17" s="140"/>
      <c r="D17" s="140"/>
      <c r="E17" s="140"/>
      <c r="F17" s="140"/>
    </row>
    <row r="18" spans="1:8" ht="31.5">
      <c r="A18" s="11" t="s">
        <v>35</v>
      </c>
      <c r="B18" s="237" t="s">
        <v>3</v>
      </c>
      <c r="C18" s="238"/>
      <c r="D18" s="238"/>
      <c r="E18" s="239"/>
      <c r="F18" s="13" t="s">
        <v>9</v>
      </c>
      <c r="H18" s="2" t="s">
        <v>22</v>
      </c>
    </row>
    <row r="19" spans="1:8" ht="15.75" customHeight="1">
      <c r="A19" s="11">
        <v>1</v>
      </c>
      <c r="B19" s="232" t="s">
        <v>4</v>
      </c>
      <c r="C19" s="233"/>
      <c r="D19" s="233"/>
      <c r="E19" s="234"/>
      <c r="F19" s="120">
        <v>392122.65</v>
      </c>
      <c r="G19" s="14"/>
      <c r="H19" s="2">
        <f>D4</f>
        <v>4475.4</v>
      </c>
    </row>
    <row r="20" spans="1:10" ht="18" customHeight="1">
      <c r="A20" s="11">
        <v>2</v>
      </c>
      <c r="B20" s="232" t="s">
        <v>38</v>
      </c>
      <c r="C20" s="233"/>
      <c r="D20" s="233"/>
      <c r="E20" s="234"/>
      <c r="F20" s="120">
        <v>11265.41</v>
      </c>
      <c r="G20" s="6"/>
      <c r="I20" s="2" t="s">
        <v>24</v>
      </c>
      <c r="J20" s="2" t="s">
        <v>25</v>
      </c>
    </row>
    <row r="21" spans="1:10" ht="18" customHeight="1">
      <c r="A21" s="11">
        <v>3</v>
      </c>
      <c r="B21" s="232" t="s">
        <v>26</v>
      </c>
      <c r="C21" s="233"/>
      <c r="D21" s="233"/>
      <c r="E21" s="234"/>
      <c r="F21" s="120">
        <f>I22+500*12+1200*12+F52+F61</f>
        <v>83048</v>
      </c>
      <c r="G21" s="6"/>
      <c r="I21" s="12">
        <v>5123</v>
      </c>
      <c r="J21" s="12">
        <v>4728</v>
      </c>
    </row>
    <row r="22" spans="1:10" ht="18" customHeight="1">
      <c r="A22" s="11">
        <v>4</v>
      </c>
      <c r="B22" s="232" t="s">
        <v>65</v>
      </c>
      <c r="C22" s="233"/>
      <c r="D22" s="233"/>
      <c r="E22" s="234"/>
      <c r="F22" s="120">
        <f>J22+500*12</f>
        <v>62736</v>
      </c>
      <c r="G22" s="82"/>
      <c r="I22" s="2">
        <f>I21*12</f>
        <v>61476</v>
      </c>
      <c r="J22" s="2">
        <f>J21*12</f>
        <v>56736</v>
      </c>
    </row>
    <row r="23" spans="1:7" ht="18" customHeight="1">
      <c r="A23" s="11">
        <v>5</v>
      </c>
      <c r="B23" s="232" t="s">
        <v>5</v>
      </c>
      <c r="C23" s="233"/>
      <c r="D23" s="233"/>
      <c r="E23" s="234"/>
      <c r="F23" s="45">
        <f>F24+F25+F26</f>
        <v>107939</v>
      </c>
      <c r="G23" s="6"/>
    </row>
    <row r="24" spans="1:10" ht="18" customHeight="1">
      <c r="A24" s="11" t="s">
        <v>6</v>
      </c>
      <c r="B24" s="232" t="s">
        <v>27</v>
      </c>
      <c r="C24" s="233"/>
      <c r="D24" s="233"/>
      <c r="E24" s="234"/>
      <c r="F24" s="45">
        <f>F41+F42+F45+F50+F53+F57+F60+F62+F64+F65+F66+F71+F72+F73+F74+F75+F83+F84+F86+F87+F88</f>
        <v>39049</v>
      </c>
      <c r="G24" s="83">
        <f>F92</f>
        <v>123695</v>
      </c>
      <c r="H24" s="2" t="s">
        <v>372</v>
      </c>
      <c r="J24" s="2">
        <f>800*2</f>
        <v>1600</v>
      </c>
    </row>
    <row r="25" spans="1:7" ht="16.5" customHeight="1">
      <c r="A25" s="11" t="s">
        <v>6</v>
      </c>
      <c r="B25" s="232" t="s">
        <v>28</v>
      </c>
      <c r="C25" s="233"/>
      <c r="D25" s="233"/>
      <c r="E25" s="234"/>
      <c r="F25" s="45">
        <f>F39+F44+F46+F47+F51+F54+F55+F56+F63+F68+F69+F81+F82+F85</f>
        <v>19623</v>
      </c>
      <c r="G25" s="6" t="s">
        <v>369</v>
      </c>
    </row>
    <row r="26" spans="1:12" ht="16.5" customHeight="1">
      <c r="A26" s="11" t="s">
        <v>6</v>
      </c>
      <c r="B26" s="232" t="s">
        <v>29</v>
      </c>
      <c r="C26" s="233"/>
      <c r="D26" s="233"/>
      <c r="E26" s="234"/>
      <c r="F26" s="45">
        <f>F48+F49+F58+F59+F67+F70+F78</f>
        <v>49267</v>
      </c>
      <c r="G26" s="6" t="s">
        <v>370</v>
      </c>
      <c r="L26" s="2" t="s">
        <v>326</v>
      </c>
    </row>
    <row r="27" spans="1:13" ht="16.5" customHeight="1">
      <c r="A27" s="11">
        <v>6</v>
      </c>
      <c r="B27" s="229" t="s">
        <v>371</v>
      </c>
      <c r="C27" s="230"/>
      <c r="D27" s="230"/>
      <c r="E27" s="231"/>
      <c r="F27" s="120">
        <f>J24*12</f>
        <v>19200</v>
      </c>
      <c r="G27" s="6"/>
      <c r="L27" s="2">
        <v>5067.6</v>
      </c>
      <c r="M27" s="2" t="s">
        <v>327</v>
      </c>
    </row>
    <row r="28" spans="1:13" ht="17.25" customHeight="1">
      <c r="A28" s="11">
        <v>7</v>
      </c>
      <c r="B28" s="229" t="s">
        <v>154</v>
      </c>
      <c r="C28" s="230"/>
      <c r="D28" s="230"/>
      <c r="E28" s="231"/>
      <c r="F28" s="120">
        <f>F40+F76+F77+F79+F80+F89+F90+F91</f>
        <v>9384</v>
      </c>
      <c r="G28" s="6"/>
      <c r="L28" s="2">
        <v>5097.6</v>
      </c>
      <c r="M28" s="2" t="s">
        <v>328</v>
      </c>
    </row>
    <row r="29" spans="1:13" ht="17.25" customHeight="1">
      <c r="A29" s="11">
        <v>8</v>
      </c>
      <c r="B29" s="229" t="s">
        <v>67</v>
      </c>
      <c r="C29" s="230"/>
      <c r="D29" s="230"/>
      <c r="E29" s="231"/>
      <c r="F29" s="120">
        <f>5097.6*12+2600*2+2400*2</f>
        <v>71171.20000000001</v>
      </c>
      <c r="G29" s="6"/>
      <c r="L29" s="2">
        <v>5097.6</v>
      </c>
      <c r="M29" s="2" t="s">
        <v>330</v>
      </c>
    </row>
    <row r="30" spans="1:13" s="15" customFormat="1" ht="18.75" customHeight="1">
      <c r="A30" s="11">
        <v>9</v>
      </c>
      <c r="B30" s="229" t="s">
        <v>39</v>
      </c>
      <c r="C30" s="230"/>
      <c r="D30" s="230"/>
      <c r="E30" s="231"/>
      <c r="F30" s="120">
        <f>D11</f>
        <v>112186.31</v>
      </c>
      <c r="G30" s="3"/>
      <c r="I30" s="2"/>
      <c r="L30" s="2">
        <v>5097.6</v>
      </c>
      <c r="M30" s="2" t="s">
        <v>332</v>
      </c>
    </row>
    <row r="31" spans="1:13" ht="15.75" customHeight="1">
      <c r="A31" s="11">
        <v>10</v>
      </c>
      <c r="B31" s="232" t="s">
        <v>325</v>
      </c>
      <c r="C31" s="233"/>
      <c r="D31" s="233"/>
      <c r="E31" s="234"/>
      <c r="F31" s="120">
        <f>D12</f>
        <v>71097.05</v>
      </c>
      <c r="L31" s="2">
        <v>5097.6</v>
      </c>
      <c r="M31" s="2" t="s">
        <v>333</v>
      </c>
    </row>
    <row r="32" spans="1:6" ht="15.75" customHeight="1">
      <c r="A32" s="99"/>
      <c r="B32" s="242" t="s">
        <v>7</v>
      </c>
      <c r="C32" s="243"/>
      <c r="D32" s="243"/>
      <c r="E32" s="244"/>
      <c r="F32" s="17">
        <f>F19+F20+F21+F22+F23+F27+F28+F29+F30+F31</f>
        <v>940149.6200000001</v>
      </c>
    </row>
    <row r="33" spans="1:6" ht="18" customHeight="1">
      <c r="A33" s="1"/>
      <c r="B33" s="10"/>
      <c r="C33" s="10"/>
      <c r="D33" s="10"/>
      <c r="E33" s="10"/>
      <c r="F33" s="10"/>
    </row>
    <row r="34" spans="1:6" ht="15.75">
      <c r="A34" s="94" t="s">
        <v>310</v>
      </c>
      <c r="B34" s="94"/>
      <c r="C34" s="94"/>
      <c r="D34" s="94"/>
      <c r="E34" s="94"/>
      <c r="F34" s="45">
        <f>D6+D13-F32</f>
        <v>-14588.173999999883</v>
      </c>
    </row>
    <row r="35" spans="1:6" ht="18" customHeight="1">
      <c r="A35" s="245" t="s">
        <v>307</v>
      </c>
      <c r="B35" s="246"/>
      <c r="C35" s="246"/>
      <c r="D35" s="246"/>
      <c r="E35" s="247"/>
      <c r="F35" s="45">
        <f>F13</f>
        <v>-141019.09999999998</v>
      </c>
    </row>
    <row r="36" spans="1:6" ht="16.5" customHeight="1" outlineLevel="1">
      <c r="A36" s="248" t="s">
        <v>156</v>
      </c>
      <c r="B36" s="249"/>
      <c r="C36" s="249"/>
      <c r="D36" s="249"/>
      <c r="E36" s="250"/>
      <c r="F36" s="84">
        <f>F34+F35</f>
        <v>-155607.27399999986</v>
      </c>
    </row>
    <row r="37" spans="2:5" ht="50.25" customHeight="1">
      <c r="B37" s="251" t="s">
        <v>323</v>
      </c>
      <c r="C37" s="251"/>
      <c r="D37" s="251"/>
      <c r="E37" s="251"/>
    </row>
    <row r="38" spans="1:6" ht="15.75">
      <c r="A38" s="16" t="s">
        <v>17</v>
      </c>
      <c r="B38" s="16" t="s">
        <v>8</v>
      </c>
      <c r="C38" s="226" t="s">
        <v>30</v>
      </c>
      <c r="D38" s="227"/>
      <c r="E38" s="228"/>
      <c r="F38" s="16" t="s">
        <v>31</v>
      </c>
    </row>
    <row r="39" spans="1:6" ht="15.75" customHeight="1">
      <c r="A39" s="47">
        <v>1</v>
      </c>
      <c r="B39" s="145">
        <v>42388</v>
      </c>
      <c r="C39" s="240" t="s">
        <v>344</v>
      </c>
      <c r="D39" s="240"/>
      <c r="E39" s="240"/>
      <c r="F39" s="151">
        <v>492</v>
      </c>
    </row>
    <row r="40" spans="1:6" ht="15.75">
      <c r="A40" s="47">
        <v>2</v>
      </c>
      <c r="B40" s="145">
        <v>42392</v>
      </c>
      <c r="C40" s="146" t="s">
        <v>345</v>
      </c>
      <c r="D40" s="147"/>
      <c r="E40" s="148"/>
      <c r="F40" s="149">
        <v>1104</v>
      </c>
    </row>
    <row r="41" spans="1:8" ht="30.75" customHeight="1">
      <c r="A41" s="47">
        <v>3</v>
      </c>
      <c r="B41" s="145">
        <v>42395</v>
      </c>
      <c r="C41" s="241" t="s">
        <v>346</v>
      </c>
      <c r="D41" s="241"/>
      <c r="E41" s="241"/>
      <c r="F41" s="152">
        <v>1124</v>
      </c>
      <c r="H41" s="18"/>
    </row>
    <row r="42" spans="1:8" ht="15.75" customHeight="1">
      <c r="A42" s="47">
        <v>4</v>
      </c>
      <c r="B42" s="145">
        <v>42412</v>
      </c>
      <c r="C42" s="240" t="s">
        <v>347</v>
      </c>
      <c r="D42" s="240"/>
      <c r="E42" s="240"/>
      <c r="F42" s="152">
        <v>6522</v>
      </c>
      <c r="H42" s="18"/>
    </row>
    <row r="43" spans="1:6" ht="15.75">
      <c r="A43" s="47">
        <v>6</v>
      </c>
      <c r="B43" s="145">
        <v>42432</v>
      </c>
      <c r="C43" s="240" t="s">
        <v>348</v>
      </c>
      <c r="D43" s="240"/>
      <c r="E43" s="240"/>
      <c r="F43" s="149">
        <f>2*2600</f>
        <v>5200</v>
      </c>
    </row>
    <row r="44" spans="1:6" ht="15.75" customHeight="1">
      <c r="A44" s="47">
        <v>7</v>
      </c>
      <c r="B44" s="145">
        <v>42440</v>
      </c>
      <c r="C44" s="240" t="s">
        <v>349</v>
      </c>
      <c r="D44" s="240"/>
      <c r="E44" s="240"/>
      <c r="F44" s="151">
        <v>582</v>
      </c>
    </row>
    <row r="45" spans="1:6" ht="15.75" customHeight="1">
      <c r="A45" s="47">
        <v>8</v>
      </c>
      <c r="B45" s="145">
        <v>42447</v>
      </c>
      <c r="C45" s="241" t="s">
        <v>346</v>
      </c>
      <c r="D45" s="241"/>
      <c r="E45" s="241"/>
      <c r="F45" s="152">
        <v>654</v>
      </c>
    </row>
    <row r="46" spans="1:6" ht="15.75" customHeight="1">
      <c r="A46" s="47">
        <v>9</v>
      </c>
      <c r="B46" s="145">
        <v>42454</v>
      </c>
      <c r="C46" s="240" t="s">
        <v>349</v>
      </c>
      <c r="D46" s="240"/>
      <c r="E46" s="240"/>
      <c r="F46" s="151">
        <v>570</v>
      </c>
    </row>
    <row r="47" spans="1:6" ht="15.75">
      <c r="A47" s="47">
        <v>10</v>
      </c>
      <c r="B47" s="145">
        <v>42480</v>
      </c>
      <c r="C47" s="240" t="s">
        <v>349</v>
      </c>
      <c r="D47" s="240"/>
      <c r="E47" s="240"/>
      <c r="F47" s="151">
        <v>1165</v>
      </c>
    </row>
    <row r="48" spans="1:6" ht="15.75">
      <c r="A48" s="47">
        <v>11</v>
      </c>
      <c r="B48" s="145">
        <v>42490</v>
      </c>
      <c r="C48" s="241" t="s">
        <v>350</v>
      </c>
      <c r="D48" s="241"/>
      <c r="E48" s="241"/>
      <c r="F48" s="149">
        <v>3261</v>
      </c>
    </row>
    <row r="49" spans="1:6" ht="15.75" customHeight="1">
      <c r="A49" s="47">
        <v>12</v>
      </c>
      <c r="B49" s="145">
        <v>42502</v>
      </c>
      <c r="C49" s="240" t="s">
        <v>351</v>
      </c>
      <c r="D49" s="240"/>
      <c r="E49" s="240"/>
      <c r="F49" s="149">
        <v>3749</v>
      </c>
    </row>
    <row r="50" spans="1:6" ht="15.75">
      <c r="A50" s="47">
        <v>13</v>
      </c>
      <c r="B50" s="145">
        <v>42506</v>
      </c>
      <c r="C50" s="241" t="s">
        <v>352</v>
      </c>
      <c r="D50" s="241"/>
      <c r="E50" s="241"/>
      <c r="F50" s="153">
        <v>1828</v>
      </c>
    </row>
    <row r="51" spans="1:6" ht="15.75" customHeight="1">
      <c r="A51" s="47">
        <v>14</v>
      </c>
      <c r="B51" s="145">
        <v>42517</v>
      </c>
      <c r="C51" s="240" t="s">
        <v>349</v>
      </c>
      <c r="D51" s="240"/>
      <c r="E51" s="240"/>
      <c r="F51" s="151">
        <v>536</v>
      </c>
    </row>
    <row r="52" spans="1:6" ht="15.75">
      <c r="A52" s="47">
        <v>15</v>
      </c>
      <c r="B52" s="145">
        <v>42521</v>
      </c>
      <c r="C52" s="240" t="s">
        <v>353</v>
      </c>
      <c r="D52" s="240"/>
      <c r="E52" s="240"/>
      <c r="F52" s="149">
        <v>586</v>
      </c>
    </row>
    <row r="53" spans="1:6" ht="30" customHeight="1">
      <c r="A53" s="47">
        <v>16</v>
      </c>
      <c r="B53" s="145">
        <v>42535</v>
      </c>
      <c r="C53" s="241" t="s">
        <v>346</v>
      </c>
      <c r="D53" s="241"/>
      <c r="E53" s="241"/>
      <c r="F53" s="152">
        <v>1600</v>
      </c>
    </row>
    <row r="54" spans="1:6" ht="15.75">
      <c r="A54" s="47">
        <v>17</v>
      </c>
      <c r="B54" s="145">
        <v>42535</v>
      </c>
      <c r="C54" s="240" t="s">
        <v>354</v>
      </c>
      <c r="D54" s="240"/>
      <c r="E54" s="240"/>
      <c r="F54" s="151">
        <v>5131</v>
      </c>
    </row>
    <row r="55" spans="1:6" ht="15.75">
      <c r="A55" s="47">
        <v>18</v>
      </c>
      <c r="B55" s="145">
        <v>42535</v>
      </c>
      <c r="C55" s="240" t="s">
        <v>354</v>
      </c>
      <c r="D55" s="240"/>
      <c r="E55" s="240"/>
      <c r="F55" s="151">
        <v>5359</v>
      </c>
    </row>
    <row r="56" spans="1:6" ht="30" customHeight="1">
      <c r="A56" s="47">
        <v>19</v>
      </c>
      <c r="B56" s="145">
        <v>42536</v>
      </c>
      <c r="C56" s="241" t="s">
        <v>355</v>
      </c>
      <c r="D56" s="241"/>
      <c r="E56" s="241"/>
      <c r="F56" s="151">
        <v>954</v>
      </c>
    </row>
    <row r="57" spans="1:6" ht="15.75">
      <c r="A57" s="47">
        <v>20</v>
      </c>
      <c r="B57" s="145">
        <v>42536</v>
      </c>
      <c r="C57" s="240" t="s">
        <v>356</v>
      </c>
      <c r="D57" s="240"/>
      <c r="E57" s="240"/>
      <c r="F57" s="152">
        <v>937</v>
      </c>
    </row>
    <row r="58" spans="1:6" ht="15.75">
      <c r="A58" s="47">
        <v>21</v>
      </c>
      <c r="B58" s="145">
        <v>42537</v>
      </c>
      <c r="C58" s="240" t="s">
        <v>357</v>
      </c>
      <c r="D58" s="240"/>
      <c r="E58" s="240"/>
      <c r="F58" s="149">
        <v>1983</v>
      </c>
    </row>
    <row r="59" spans="1:6" ht="15.75" customHeight="1">
      <c r="A59" s="47">
        <v>22</v>
      </c>
      <c r="B59" s="145">
        <v>42541</v>
      </c>
      <c r="C59" s="240" t="s">
        <v>368</v>
      </c>
      <c r="D59" s="240"/>
      <c r="E59" s="240"/>
      <c r="F59" s="149">
        <v>600</v>
      </c>
    </row>
    <row r="60" spans="1:6" ht="31.5" customHeight="1">
      <c r="A60" s="47">
        <v>23</v>
      </c>
      <c r="B60" s="145">
        <v>42541</v>
      </c>
      <c r="C60" s="241" t="s">
        <v>346</v>
      </c>
      <c r="D60" s="241"/>
      <c r="E60" s="241"/>
      <c r="F60" s="152">
        <v>654</v>
      </c>
    </row>
    <row r="61" spans="1:6" ht="15.75">
      <c r="A61" s="47">
        <v>24</v>
      </c>
      <c r="B61" s="145">
        <v>42551</v>
      </c>
      <c r="C61" s="240" t="s">
        <v>353</v>
      </c>
      <c r="D61" s="240"/>
      <c r="E61" s="240"/>
      <c r="F61" s="149">
        <v>586</v>
      </c>
    </row>
    <row r="62" spans="1:6" ht="15.75">
      <c r="A62" s="47">
        <v>25</v>
      </c>
      <c r="B62" s="145">
        <v>42600</v>
      </c>
      <c r="C62" s="240" t="s">
        <v>358</v>
      </c>
      <c r="D62" s="240"/>
      <c r="E62" s="240"/>
      <c r="F62" s="152">
        <v>1450</v>
      </c>
    </row>
    <row r="63" spans="1:6" s="50" customFormat="1" ht="15" customHeight="1">
      <c r="A63" s="47">
        <v>26</v>
      </c>
      <c r="B63" s="145">
        <v>42591</v>
      </c>
      <c r="C63" s="240" t="s">
        <v>349</v>
      </c>
      <c r="D63" s="240"/>
      <c r="E63" s="240"/>
      <c r="F63" s="151">
        <v>699</v>
      </c>
    </row>
    <row r="64" spans="1:6" s="50" customFormat="1" ht="15" customHeight="1">
      <c r="A64" s="47">
        <v>27</v>
      </c>
      <c r="B64" s="145">
        <v>42607</v>
      </c>
      <c r="C64" s="240" t="s">
        <v>359</v>
      </c>
      <c r="D64" s="240"/>
      <c r="E64" s="240"/>
      <c r="F64" s="152">
        <v>10098</v>
      </c>
    </row>
    <row r="65" spans="1:6" s="50" customFormat="1" ht="15" customHeight="1">
      <c r="A65" s="47">
        <v>28</v>
      </c>
      <c r="B65" s="145">
        <v>42614</v>
      </c>
      <c r="C65" s="240" t="s">
        <v>360</v>
      </c>
      <c r="D65" s="240"/>
      <c r="E65" s="240"/>
      <c r="F65" s="152">
        <v>1601</v>
      </c>
    </row>
    <row r="66" spans="1:6" s="50" customFormat="1" ht="15" customHeight="1">
      <c r="A66" s="47">
        <v>29</v>
      </c>
      <c r="B66" s="145">
        <v>42614</v>
      </c>
      <c r="C66" s="240" t="s">
        <v>361</v>
      </c>
      <c r="D66" s="240"/>
      <c r="E66" s="240"/>
      <c r="F66" s="152">
        <v>5364</v>
      </c>
    </row>
    <row r="67" spans="1:6" s="50" customFormat="1" ht="15" customHeight="1">
      <c r="A67" s="47">
        <v>30</v>
      </c>
      <c r="B67" s="145">
        <v>42627</v>
      </c>
      <c r="C67" s="240" t="s">
        <v>362</v>
      </c>
      <c r="D67" s="240"/>
      <c r="E67" s="240"/>
      <c r="F67" s="149">
        <v>35000</v>
      </c>
    </row>
    <row r="68" spans="1:6" s="50" customFormat="1" ht="15">
      <c r="A68" s="47">
        <v>31</v>
      </c>
      <c r="B68" s="145">
        <v>42632</v>
      </c>
      <c r="C68" s="240" t="s">
        <v>363</v>
      </c>
      <c r="D68" s="240"/>
      <c r="E68" s="240"/>
      <c r="F68" s="151">
        <v>1149</v>
      </c>
    </row>
    <row r="69" spans="1:6" s="50" customFormat="1" ht="15" customHeight="1">
      <c r="A69" s="47">
        <v>32</v>
      </c>
      <c r="B69" s="145">
        <v>42632</v>
      </c>
      <c r="C69" s="240" t="s">
        <v>363</v>
      </c>
      <c r="D69" s="240"/>
      <c r="E69" s="240"/>
      <c r="F69" s="151">
        <v>904</v>
      </c>
    </row>
    <row r="70" spans="1:6" s="50" customFormat="1" ht="15">
      <c r="A70" s="47">
        <v>33</v>
      </c>
      <c r="B70" s="145">
        <v>42634</v>
      </c>
      <c r="C70" s="241" t="s">
        <v>364</v>
      </c>
      <c r="D70" s="241"/>
      <c r="E70" s="241"/>
      <c r="F70" s="149">
        <v>2500</v>
      </c>
    </row>
    <row r="71" spans="1:6" s="50" customFormat="1" ht="15">
      <c r="A71" s="47">
        <v>34</v>
      </c>
      <c r="B71" s="145">
        <v>42636</v>
      </c>
      <c r="C71" s="240" t="s">
        <v>365</v>
      </c>
      <c r="D71" s="240"/>
      <c r="E71" s="240"/>
      <c r="F71" s="152">
        <v>377</v>
      </c>
    </row>
    <row r="72" spans="1:13" s="15" customFormat="1" ht="15.75" customHeight="1">
      <c r="A72" s="47">
        <v>35</v>
      </c>
      <c r="B72" s="145">
        <v>42636</v>
      </c>
      <c r="C72" s="240" t="s">
        <v>365</v>
      </c>
      <c r="D72" s="240"/>
      <c r="E72" s="240"/>
      <c r="F72" s="152">
        <v>377</v>
      </c>
      <c r="L72" s="2"/>
      <c r="M72" s="2"/>
    </row>
    <row r="73" spans="1:6" s="50" customFormat="1" ht="15" customHeight="1">
      <c r="A73" s="47">
        <v>36</v>
      </c>
      <c r="B73" s="145">
        <v>42640</v>
      </c>
      <c r="C73" s="241" t="s">
        <v>346</v>
      </c>
      <c r="D73" s="241"/>
      <c r="E73" s="241"/>
      <c r="F73" s="152">
        <v>654</v>
      </c>
    </row>
    <row r="74" spans="1:6" s="50" customFormat="1" ht="15" customHeight="1">
      <c r="A74" s="47">
        <v>37</v>
      </c>
      <c r="B74" s="145">
        <v>42653</v>
      </c>
      <c r="C74" s="240" t="s">
        <v>366</v>
      </c>
      <c r="D74" s="240"/>
      <c r="E74" s="240"/>
      <c r="F74" s="152">
        <v>974</v>
      </c>
    </row>
    <row r="75" spans="1:6" s="50" customFormat="1" ht="15" customHeight="1">
      <c r="A75" s="47">
        <v>38</v>
      </c>
      <c r="B75" s="145">
        <v>42653</v>
      </c>
      <c r="C75" s="240" t="s">
        <v>366</v>
      </c>
      <c r="D75" s="240"/>
      <c r="E75" s="240"/>
      <c r="F75" s="152">
        <v>847</v>
      </c>
    </row>
    <row r="76" spans="1:6" ht="15.75">
      <c r="A76" s="47">
        <v>39</v>
      </c>
      <c r="B76" s="145">
        <v>42663</v>
      </c>
      <c r="C76" s="240" t="s">
        <v>345</v>
      </c>
      <c r="D76" s="240"/>
      <c r="E76" s="240"/>
      <c r="F76" s="149">
        <v>1380</v>
      </c>
    </row>
    <row r="77" spans="1:13" s="15" customFormat="1" ht="15.75">
      <c r="A77" s="47">
        <v>40</v>
      </c>
      <c r="B77" s="145">
        <v>42667</v>
      </c>
      <c r="C77" s="240" t="s">
        <v>345</v>
      </c>
      <c r="D77" s="240"/>
      <c r="E77" s="240"/>
      <c r="F77" s="149">
        <v>1380</v>
      </c>
      <c r="L77" s="2"/>
      <c r="M77" s="2"/>
    </row>
    <row r="78" spans="1:6" s="50" customFormat="1" ht="15">
      <c r="A78" s="47">
        <v>41</v>
      </c>
      <c r="B78" s="145">
        <v>42674</v>
      </c>
      <c r="C78" s="240" t="s">
        <v>367</v>
      </c>
      <c r="D78" s="240"/>
      <c r="E78" s="240"/>
      <c r="F78" s="149">
        <v>2174</v>
      </c>
    </row>
    <row r="79" spans="1:6" ht="15.75">
      <c r="A79" s="47">
        <v>42</v>
      </c>
      <c r="B79" s="145">
        <v>42677</v>
      </c>
      <c r="C79" s="240" t="s">
        <v>345</v>
      </c>
      <c r="D79" s="240"/>
      <c r="E79" s="240"/>
      <c r="F79" s="149">
        <v>690</v>
      </c>
    </row>
    <row r="80" spans="1:6" ht="15.75">
      <c r="A80" s="47">
        <v>43</v>
      </c>
      <c r="B80" s="145">
        <v>42681</v>
      </c>
      <c r="C80" s="240" t="s">
        <v>345</v>
      </c>
      <c r="D80" s="240"/>
      <c r="E80" s="240"/>
      <c r="F80" s="149">
        <v>1380</v>
      </c>
    </row>
    <row r="81" spans="1:8" ht="15.75" customHeight="1">
      <c r="A81" s="47">
        <v>44</v>
      </c>
      <c r="B81" s="145">
        <v>42685</v>
      </c>
      <c r="C81" s="240" t="s">
        <v>349</v>
      </c>
      <c r="D81" s="240"/>
      <c r="E81" s="240"/>
      <c r="F81" s="151">
        <v>738</v>
      </c>
      <c r="H81" s="18"/>
    </row>
    <row r="82" spans="1:8" ht="15.75">
      <c r="A82" s="47">
        <v>45</v>
      </c>
      <c r="B82" s="145">
        <v>42689</v>
      </c>
      <c r="C82" s="240" t="s">
        <v>349</v>
      </c>
      <c r="D82" s="240"/>
      <c r="E82" s="240"/>
      <c r="F82" s="151">
        <v>767</v>
      </c>
      <c r="H82" s="18"/>
    </row>
    <row r="83" spans="1:8" ht="15.75" customHeight="1">
      <c r="A83" s="47">
        <v>46</v>
      </c>
      <c r="B83" s="145">
        <v>42695</v>
      </c>
      <c r="C83" s="240" t="s">
        <v>366</v>
      </c>
      <c r="D83" s="240"/>
      <c r="E83" s="240"/>
      <c r="F83" s="152">
        <v>941</v>
      </c>
      <c r="H83" s="18"/>
    </row>
    <row r="84" spans="1:6" ht="15.75" customHeight="1">
      <c r="A84" s="47">
        <v>47</v>
      </c>
      <c r="B84" s="145">
        <v>42695</v>
      </c>
      <c r="C84" s="240" t="s">
        <v>366</v>
      </c>
      <c r="D84" s="240"/>
      <c r="E84" s="240"/>
      <c r="F84" s="152">
        <v>1035</v>
      </c>
    </row>
    <row r="85" spans="1:6" ht="15.75">
      <c r="A85" s="47">
        <v>48</v>
      </c>
      <c r="B85" s="145">
        <v>42697</v>
      </c>
      <c r="C85" s="240" t="s">
        <v>349</v>
      </c>
      <c r="D85" s="240"/>
      <c r="E85" s="240"/>
      <c r="F85" s="151">
        <v>577</v>
      </c>
    </row>
    <row r="86" spans="1:6" ht="32.25" customHeight="1">
      <c r="A86" s="47">
        <v>49</v>
      </c>
      <c r="B86" s="145">
        <v>42697</v>
      </c>
      <c r="C86" s="241" t="s">
        <v>346</v>
      </c>
      <c r="D86" s="241"/>
      <c r="E86" s="241"/>
      <c r="F86" s="152">
        <v>654</v>
      </c>
    </row>
    <row r="87" spans="1:6" ht="15.75" customHeight="1">
      <c r="A87" s="47">
        <v>50</v>
      </c>
      <c r="B87" s="145">
        <v>42699</v>
      </c>
      <c r="C87" s="241" t="s">
        <v>346</v>
      </c>
      <c r="D87" s="241"/>
      <c r="E87" s="241"/>
      <c r="F87" s="152">
        <v>704</v>
      </c>
    </row>
    <row r="88" spans="1:6" ht="15.75" customHeight="1">
      <c r="A88" s="47">
        <v>51</v>
      </c>
      <c r="B88" s="145">
        <v>42704</v>
      </c>
      <c r="C88" s="241" t="s">
        <v>346</v>
      </c>
      <c r="D88" s="241"/>
      <c r="E88" s="241"/>
      <c r="F88" s="152">
        <v>654</v>
      </c>
    </row>
    <row r="89" spans="1:6" ht="15.75" customHeight="1">
      <c r="A89" s="47">
        <v>52</v>
      </c>
      <c r="B89" s="145">
        <v>42722</v>
      </c>
      <c r="C89" s="240" t="s">
        <v>345</v>
      </c>
      <c r="D89" s="240"/>
      <c r="E89" s="240"/>
      <c r="F89" s="149">
        <v>1380</v>
      </c>
    </row>
    <row r="90" spans="1:6" ht="15.75">
      <c r="A90" s="47">
        <v>53</v>
      </c>
      <c r="B90" s="145">
        <v>42726</v>
      </c>
      <c r="C90" s="240" t="s">
        <v>345</v>
      </c>
      <c r="D90" s="240"/>
      <c r="E90" s="240"/>
      <c r="F90" s="149">
        <v>1035</v>
      </c>
    </row>
    <row r="91" spans="1:6" ht="15.75">
      <c r="A91" s="47">
        <v>54</v>
      </c>
      <c r="B91" s="145">
        <v>42729</v>
      </c>
      <c r="C91" s="240" t="s">
        <v>345</v>
      </c>
      <c r="D91" s="240"/>
      <c r="E91" s="240"/>
      <c r="F91" s="149">
        <v>1035</v>
      </c>
    </row>
    <row r="92" spans="1:6" ht="15.75">
      <c r="A92" s="252" t="s">
        <v>32</v>
      </c>
      <c r="B92" s="253"/>
      <c r="C92" s="253"/>
      <c r="D92" s="253"/>
      <c r="E92" s="254"/>
      <c r="F92" s="17">
        <f>SUM(F39:F91)</f>
        <v>123695</v>
      </c>
    </row>
  </sheetData>
  <sheetProtection selectLockedCells="1" selectUnlockedCells="1"/>
  <mergeCells count="75">
    <mergeCell ref="C87:E87"/>
    <mergeCell ref="C88:E88"/>
    <mergeCell ref="C89:E89"/>
    <mergeCell ref="C90:E90"/>
    <mergeCell ref="C91:E91"/>
    <mergeCell ref="A92:E92"/>
    <mergeCell ref="C81:E81"/>
    <mergeCell ref="C82:E82"/>
    <mergeCell ref="C83:E83"/>
    <mergeCell ref="C84:E84"/>
    <mergeCell ref="C85:E85"/>
    <mergeCell ref="C86:E86"/>
    <mergeCell ref="A35:E35"/>
    <mergeCell ref="A36:E36"/>
    <mergeCell ref="B37:E37"/>
    <mergeCell ref="C38:E38"/>
    <mergeCell ref="C79:E79"/>
    <mergeCell ref="C80:E80"/>
    <mergeCell ref="C39:E39"/>
    <mergeCell ref="C41:E41"/>
    <mergeCell ref="C42:E42"/>
    <mergeCell ref="C43:E43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73:E73"/>
    <mergeCell ref="C62:E62"/>
    <mergeCell ref="C63:E63"/>
    <mergeCell ref="C64:E64"/>
    <mergeCell ref="C65:E65"/>
    <mergeCell ref="C66:E66"/>
    <mergeCell ref="C67:E67"/>
    <mergeCell ref="C74:E74"/>
    <mergeCell ref="C75:E75"/>
    <mergeCell ref="C76:E76"/>
    <mergeCell ref="C77:E77"/>
    <mergeCell ref="C78:E78"/>
    <mergeCell ref="C68:E68"/>
    <mergeCell ref="C69:E69"/>
    <mergeCell ref="C70:E70"/>
    <mergeCell ref="C71:E71"/>
    <mergeCell ref="C72:E72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r:id="rId1"/>
  <rowBreaks count="1" manualBreakCount="1">
    <brk id="3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3"/>
  <sheetViews>
    <sheetView view="pageBreakPreview" zoomScaleSheetLayoutView="100" zoomScalePageLayoutView="0" workbookViewId="0" topLeftCell="A4">
      <selection activeCell="D43" sqref="D43"/>
    </sheetView>
  </sheetViews>
  <sheetFormatPr defaultColWidth="9.140625" defaultRowHeight="12.75"/>
  <cols>
    <col min="1" max="1" width="7.28125" style="23" customWidth="1"/>
    <col min="2" max="2" width="50.421875" style="22" customWidth="1"/>
    <col min="3" max="4" width="18.421875" style="22" customWidth="1"/>
    <col min="5" max="16384" width="9.140625" style="22" customWidth="1"/>
  </cols>
  <sheetData>
    <row r="1" spans="1:4" ht="15.75">
      <c r="A1" s="210" t="s">
        <v>68</v>
      </c>
      <c r="B1" s="210"/>
      <c r="C1" s="210"/>
      <c r="D1" s="210"/>
    </row>
    <row r="2" spans="1:4" ht="15.75">
      <c r="A2" s="210" t="s">
        <v>69</v>
      </c>
      <c r="B2" s="210"/>
      <c r="C2" s="210"/>
      <c r="D2" s="210"/>
    </row>
    <row r="3" spans="1:4" ht="15.75">
      <c r="A3" s="210" t="s">
        <v>70</v>
      </c>
      <c r="B3" s="210"/>
      <c r="C3" s="210"/>
      <c r="D3" s="210"/>
    </row>
    <row r="4" ht="15.75">
      <c r="D4" s="25" t="s">
        <v>16</v>
      </c>
    </row>
    <row r="5" spans="1:4" s="32" customFormat="1" ht="15.75">
      <c r="A5" s="30" t="s">
        <v>71</v>
      </c>
      <c r="B5" s="30" t="s">
        <v>72</v>
      </c>
      <c r="C5" s="30" t="s">
        <v>73</v>
      </c>
      <c r="D5" s="31" t="s">
        <v>373</v>
      </c>
    </row>
    <row r="6" spans="1:8" s="34" customFormat="1" ht="12.75">
      <c r="A6" s="33">
        <v>1</v>
      </c>
      <c r="B6" s="33">
        <v>2</v>
      </c>
      <c r="C6" s="33">
        <v>3</v>
      </c>
      <c r="D6" s="33">
        <v>4</v>
      </c>
      <c r="H6" s="34">
        <f>15.5*H11*12</f>
        <v>831494.3999999999</v>
      </c>
    </row>
    <row r="7" spans="1:4" s="34" customFormat="1" ht="15.75">
      <c r="A7" s="33"/>
      <c r="B7" s="154" t="s">
        <v>381</v>
      </c>
      <c r="C7" s="43">
        <f>'2015нестд'!D36</f>
        <v>-4375.639999999781</v>
      </c>
      <c r="D7" s="33"/>
    </row>
    <row r="8" spans="1:4" s="34" customFormat="1" ht="15.75">
      <c r="A8" s="33"/>
      <c r="B8" s="154" t="s">
        <v>382</v>
      </c>
      <c r="C8" s="43">
        <v>746653.73</v>
      </c>
      <c r="D8" s="33"/>
    </row>
    <row r="9" spans="1:4" s="34" customFormat="1" ht="15.75">
      <c r="A9" s="33"/>
      <c r="B9" s="154" t="s">
        <v>383</v>
      </c>
      <c r="C9" s="43">
        <v>112186.31</v>
      </c>
      <c r="D9" s="33"/>
    </row>
    <row r="10" spans="1:4" s="34" customFormat="1" ht="15.75">
      <c r="A10" s="33"/>
      <c r="B10" s="154" t="s">
        <v>384</v>
      </c>
      <c r="C10" s="43">
        <v>71097.05</v>
      </c>
      <c r="D10" s="33"/>
    </row>
    <row r="11" spans="1:9" s="39" customFormat="1" ht="15.75">
      <c r="A11" s="37" t="s">
        <v>74</v>
      </c>
      <c r="B11" s="38" t="s">
        <v>75</v>
      </c>
      <c r="C11" s="42">
        <f>C12</f>
        <v>745971.261</v>
      </c>
      <c r="D11" s="30"/>
      <c r="G11" s="39" t="s">
        <v>22</v>
      </c>
      <c r="H11" s="39">
        <f>2335+2135.4</f>
        <v>4470.4</v>
      </c>
      <c r="I11" s="39" t="s">
        <v>11</v>
      </c>
    </row>
    <row r="12" spans="1:4" ht="15.75">
      <c r="A12" s="28" t="s">
        <v>79</v>
      </c>
      <c r="B12" s="46" t="s">
        <v>76</v>
      </c>
      <c r="C12" s="43">
        <f>C14</f>
        <v>745971.261</v>
      </c>
      <c r="D12" s="28"/>
    </row>
    <row r="13" spans="1:8" ht="48" customHeight="1">
      <c r="A13" s="28" t="s">
        <v>81</v>
      </c>
      <c r="B13" s="35" t="s">
        <v>77</v>
      </c>
      <c r="C13" s="29" t="s">
        <v>78</v>
      </c>
      <c r="D13" s="29" t="s">
        <v>129</v>
      </c>
      <c r="H13" s="22">
        <f>C16/H11/12</f>
        <v>1.9300006710808877</v>
      </c>
    </row>
    <row r="14" spans="1:4" s="39" customFormat="1" ht="15.75">
      <c r="A14" s="37" t="s">
        <v>82</v>
      </c>
      <c r="B14" s="38" t="s">
        <v>80</v>
      </c>
      <c r="C14" s="42">
        <f>C15+C20+C21+C24+C25+C30+C34+C37+C38+C41+C42+C39</f>
        <v>745971.261</v>
      </c>
      <c r="D14" s="44">
        <f>D15+D20+D21+D24+D25+D30+D34+D37+D38+D39+D41+D42+D43</f>
        <v>827963.3110000001</v>
      </c>
    </row>
    <row r="15" spans="1:6" s="39" customFormat="1" ht="15.75">
      <c r="A15" s="37" t="s">
        <v>83</v>
      </c>
      <c r="B15" s="38" t="s">
        <v>84</v>
      </c>
      <c r="C15" s="42">
        <f>SUM(C16:C19)</f>
        <v>302524.5</v>
      </c>
      <c r="D15" s="155">
        <f>D16+D17+D18+D19</f>
        <v>302524.5</v>
      </c>
      <c r="F15" s="39">
        <f>3.58-0.09</f>
        <v>3.49</v>
      </c>
    </row>
    <row r="16" spans="1:4" ht="15.75">
      <c r="A16" s="27" t="s">
        <v>93</v>
      </c>
      <c r="B16" s="24" t="s">
        <v>86</v>
      </c>
      <c r="C16" s="43">
        <v>103534.5</v>
      </c>
      <c r="D16" s="43">
        <f>C16</f>
        <v>103534.5</v>
      </c>
    </row>
    <row r="17" spans="1:5" ht="15.75">
      <c r="A17" s="27" t="s">
        <v>94</v>
      </c>
      <c r="B17" s="24" t="s">
        <v>88</v>
      </c>
      <c r="C17" s="43">
        <v>180000</v>
      </c>
      <c r="D17" s="43">
        <f>C17</f>
        <v>180000</v>
      </c>
      <c r="E17" s="22" t="s">
        <v>133</v>
      </c>
    </row>
    <row r="18" spans="1:4" ht="15.75">
      <c r="A18" s="27" t="s">
        <v>95</v>
      </c>
      <c r="B18" s="24" t="s">
        <v>90</v>
      </c>
      <c r="C18" s="43">
        <v>8990</v>
      </c>
      <c r="D18" s="43">
        <f>C18</f>
        <v>8990</v>
      </c>
    </row>
    <row r="19" spans="1:6" ht="15.75">
      <c r="A19" s="27" t="s">
        <v>96</v>
      </c>
      <c r="B19" s="24" t="s">
        <v>145</v>
      </c>
      <c r="C19" s="43">
        <v>10000</v>
      </c>
      <c r="D19" s="43">
        <f>C19</f>
        <v>10000</v>
      </c>
      <c r="F19" s="22">
        <v>0.39</v>
      </c>
    </row>
    <row r="20" spans="1:7" s="39" customFormat="1" ht="31.5">
      <c r="A20" s="30" t="s">
        <v>85</v>
      </c>
      <c r="B20" s="40" t="s">
        <v>97</v>
      </c>
      <c r="C20" s="42">
        <f>E20*12+500*12</f>
        <v>62736</v>
      </c>
      <c r="D20" s="155">
        <f>C20</f>
        <v>62736</v>
      </c>
      <c r="E20" s="22">
        <v>4728</v>
      </c>
      <c r="F20" s="22" t="s">
        <v>128</v>
      </c>
      <c r="G20" s="22"/>
    </row>
    <row r="21" spans="1:7" s="39" customFormat="1" ht="15.75">
      <c r="A21" s="37" t="s">
        <v>87</v>
      </c>
      <c r="B21" s="38" t="s">
        <v>110</v>
      </c>
      <c r="C21" s="42">
        <f>SUM(C22:C23)</f>
        <v>86876</v>
      </c>
      <c r="D21" s="155">
        <f>D22+D23</f>
        <v>83048</v>
      </c>
      <c r="E21" s="22"/>
      <c r="F21" s="22"/>
      <c r="G21" s="22"/>
    </row>
    <row r="22" spans="1:7" ht="31.5">
      <c r="A22" s="28" t="s">
        <v>98</v>
      </c>
      <c r="B22" s="26" t="s">
        <v>99</v>
      </c>
      <c r="C22" s="43">
        <f>5123*12+500*12+1200*12</f>
        <v>81876</v>
      </c>
      <c r="D22" s="28">
        <v>81876</v>
      </c>
      <c r="E22" s="22">
        <v>5123</v>
      </c>
      <c r="F22" s="22" t="s">
        <v>127</v>
      </c>
      <c r="G22" s="22" t="s">
        <v>137</v>
      </c>
    </row>
    <row r="23" spans="1:5" ht="15.75">
      <c r="A23" s="36" t="s">
        <v>100</v>
      </c>
      <c r="B23" s="24" t="s">
        <v>132</v>
      </c>
      <c r="C23" s="43">
        <v>5000</v>
      </c>
      <c r="D23" s="28">
        <v>1172</v>
      </c>
      <c r="E23" s="22" t="s">
        <v>126</v>
      </c>
    </row>
    <row r="24" spans="1:4" s="39" customFormat="1" ht="15.75">
      <c r="A24" s="37" t="s">
        <v>89</v>
      </c>
      <c r="B24" s="38" t="s">
        <v>102</v>
      </c>
      <c r="C24" s="42">
        <v>10000</v>
      </c>
      <c r="D24" s="44">
        <v>0</v>
      </c>
    </row>
    <row r="25" spans="1:4" s="39" customFormat="1" ht="31.5">
      <c r="A25" s="30" t="s">
        <v>91</v>
      </c>
      <c r="B25" s="40" t="s">
        <v>109</v>
      </c>
      <c r="C25" s="42">
        <f>SUM(C26:C29)</f>
        <v>30265.408</v>
      </c>
      <c r="D25" s="155">
        <f>D26+D27+D29</f>
        <v>69937.408</v>
      </c>
    </row>
    <row r="26" spans="1:5" ht="15.75">
      <c r="A26" s="27" t="s">
        <v>138</v>
      </c>
      <c r="B26" s="24" t="s">
        <v>103</v>
      </c>
      <c r="C26" s="43">
        <f>0.21*12*H11</f>
        <v>11265.408</v>
      </c>
      <c r="D26" s="43">
        <f>C26</f>
        <v>11265.408</v>
      </c>
      <c r="E26" s="22">
        <v>0.21</v>
      </c>
    </row>
    <row r="27" spans="1:4" ht="15.75">
      <c r="A27" s="27" t="s">
        <v>139</v>
      </c>
      <c r="B27" s="24" t="s">
        <v>142</v>
      </c>
      <c r="C27" s="43">
        <f>5000</f>
        <v>5000</v>
      </c>
      <c r="D27" s="211">
        <v>39049</v>
      </c>
    </row>
    <row r="28" spans="1:4" ht="15.75">
      <c r="A28" s="27" t="s">
        <v>140</v>
      </c>
      <c r="B28" s="24" t="s">
        <v>143</v>
      </c>
      <c r="C28" s="43">
        <f>4000</f>
        <v>4000</v>
      </c>
      <c r="D28" s="212"/>
    </row>
    <row r="29" spans="1:4" ht="15.75">
      <c r="A29" s="27" t="s">
        <v>141</v>
      </c>
      <c r="B29" s="24" t="s">
        <v>104</v>
      </c>
      <c r="C29" s="43">
        <v>10000</v>
      </c>
      <c r="D29" s="28">
        <v>19623</v>
      </c>
    </row>
    <row r="30" spans="1:4" s="39" customFormat="1" ht="31.5">
      <c r="A30" s="30" t="s">
        <v>92</v>
      </c>
      <c r="B30" s="40" t="s">
        <v>108</v>
      </c>
      <c r="C30" s="42">
        <f>C31+C32</f>
        <v>25500</v>
      </c>
      <c r="D30" s="155">
        <f>D31+D32+D33</f>
        <v>11767</v>
      </c>
    </row>
    <row r="31" spans="1:4" ht="31.5">
      <c r="A31" s="28" t="s">
        <v>105</v>
      </c>
      <c r="B31" s="26" t="s">
        <v>112</v>
      </c>
      <c r="C31" s="43">
        <v>4000</v>
      </c>
      <c r="D31" s="28">
        <v>0</v>
      </c>
    </row>
    <row r="32" spans="1:4" ht="31.5">
      <c r="A32" s="28" t="s">
        <v>124</v>
      </c>
      <c r="B32" s="26" t="s">
        <v>134</v>
      </c>
      <c r="C32" s="45">
        <v>21500</v>
      </c>
      <c r="D32" s="28">
        <v>0</v>
      </c>
    </row>
    <row r="33" spans="1:4" ht="15.75">
      <c r="A33" s="28" t="s">
        <v>374</v>
      </c>
      <c r="B33" s="26" t="s">
        <v>375</v>
      </c>
      <c r="C33" s="45"/>
      <c r="D33" s="28">
        <v>11767</v>
      </c>
    </row>
    <row r="34" spans="1:4" s="39" customFormat="1" ht="15.75">
      <c r="A34" s="37" t="s">
        <v>106</v>
      </c>
      <c r="B34" s="38" t="s">
        <v>107</v>
      </c>
      <c r="C34" s="42">
        <f>C35+C36</f>
        <v>71171.20000000001</v>
      </c>
      <c r="D34" s="155">
        <f>D35+D36</f>
        <v>71171.20000000001</v>
      </c>
    </row>
    <row r="35" spans="1:4" ht="31.5">
      <c r="A35" s="41" t="s">
        <v>111</v>
      </c>
      <c r="B35" s="26" t="s">
        <v>113</v>
      </c>
      <c r="C35" s="43">
        <f>5097.6*12</f>
        <v>61171.200000000004</v>
      </c>
      <c r="D35" s="43">
        <f>C35</f>
        <v>61171.200000000004</v>
      </c>
    </row>
    <row r="36" spans="1:4" ht="31.5">
      <c r="A36" s="28" t="s">
        <v>114</v>
      </c>
      <c r="B36" s="26" t="s">
        <v>115</v>
      </c>
      <c r="C36" s="43">
        <f>(2400+2600)*2</f>
        <v>10000</v>
      </c>
      <c r="D36" s="43">
        <f>C36</f>
        <v>10000</v>
      </c>
    </row>
    <row r="37" spans="1:4" s="39" customFormat="1" ht="15.75">
      <c r="A37" s="37" t="s">
        <v>116</v>
      </c>
      <c r="B37" s="38" t="s">
        <v>117</v>
      </c>
      <c r="C37" s="42">
        <f>1200*1.5*12</f>
        <v>21600</v>
      </c>
      <c r="D37" s="155">
        <v>9384</v>
      </c>
    </row>
    <row r="38" spans="1:4" s="39" customFormat="1" ht="31.5">
      <c r="A38" s="30" t="s">
        <v>118</v>
      </c>
      <c r="B38" s="40" t="s">
        <v>119</v>
      </c>
      <c r="C38" s="42">
        <f>850*12</f>
        <v>10200</v>
      </c>
      <c r="D38" s="155">
        <v>19200</v>
      </c>
    </row>
    <row r="39" spans="1:4" s="39" customFormat="1" ht="18.75" customHeight="1">
      <c r="A39" s="30" t="s">
        <v>120</v>
      </c>
      <c r="B39" s="40" t="s">
        <v>136</v>
      </c>
      <c r="C39" s="17">
        <v>35000</v>
      </c>
      <c r="D39" s="155">
        <f>C39+D40</f>
        <v>37500</v>
      </c>
    </row>
    <row r="40" spans="1:4" ht="15.75">
      <c r="A40" s="28" t="s">
        <v>376</v>
      </c>
      <c r="B40" s="26" t="s">
        <v>377</v>
      </c>
      <c r="C40" s="45"/>
      <c r="D40" s="28">
        <v>2500</v>
      </c>
    </row>
    <row r="41" spans="1:4" s="39" customFormat="1" ht="15.75">
      <c r="A41" s="37" t="s">
        <v>122</v>
      </c>
      <c r="B41" s="38" t="s">
        <v>121</v>
      </c>
      <c r="C41" s="42">
        <v>500</v>
      </c>
      <c r="D41" s="155">
        <v>0</v>
      </c>
    </row>
    <row r="42" spans="1:6" s="39" customFormat="1" ht="15.75">
      <c r="A42" s="37" t="s">
        <v>125</v>
      </c>
      <c r="B42" s="38" t="s">
        <v>123</v>
      </c>
      <c r="C42" s="42">
        <f>2241*12+17241*0.202*12+C16*0.202</f>
        <v>89598.153</v>
      </c>
      <c r="D42" s="155">
        <f>C42</f>
        <v>89598.153</v>
      </c>
      <c r="F42" s="39" t="s">
        <v>343</v>
      </c>
    </row>
    <row r="43" spans="1:4" s="39" customFormat="1" ht="15.75">
      <c r="A43" s="37" t="s">
        <v>135</v>
      </c>
      <c r="B43" s="38" t="s">
        <v>325</v>
      </c>
      <c r="C43" s="42">
        <v>0</v>
      </c>
      <c r="D43" s="155">
        <v>71097.05</v>
      </c>
    </row>
    <row r="45" spans="1:4" s="39" customFormat="1" ht="15.75">
      <c r="A45" s="37" t="s">
        <v>135</v>
      </c>
      <c r="B45" s="38" t="s">
        <v>101</v>
      </c>
      <c r="C45" s="42">
        <f>7859.6*12+18000</f>
        <v>112315.20000000001</v>
      </c>
      <c r="D45" s="155">
        <v>112186.31</v>
      </c>
    </row>
    <row r="47" spans="1:4" ht="15.75">
      <c r="A47" s="213" t="s">
        <v>144</v>
      </c>
      <c r="B47" s="213"/>
      <c r="C47" s="42">
        <f>C45+C14</f>
        <v>858286.4610000001</v>
      </c>
      <c r="D47" s="44">
        <f>D45+D14</f>
        <v>940149.621</v>
      </c>
    </row>
    <row r="50" spans="1:4" s="2" customFormat="1" ht="15.75">
      <c r="A50" s="207" t="s">
        <v>378</v>
      </c>
      <c r="B50" s="208"/>
      <c r="C50" s="209"/>
      <c r="D50" s="17">
        <f>C7+C8+C9+C10-D47</f>
        <v>-14588.170999999857</v>
      </c>
    </row>
    <row r="51" spans="1:4" s="2" customFormat="1" ht="15.75">
      <c r="A51" s="142" t="s">
        <v>379</v>
      </c>
      <c r="B51" s="143"/>
      <c r="C51" s="144"/>
      <c r="D51" s="17">
        <v>-141019.1</v>
      </c>
    </row>
    <row r="52" spans="1:4" s="2" customFormat="1" ht="15.75">
      <c r="A52" s="156"/>
      <c r="B52" s="157"/>
      <c r="C52" s="157"/>
      <c r="D52" s="157"/>
    </row>
    <row r="53" spans="1:4" s="2" customFormat="1" ht="15.75">
      <c r="A53" s="156"/>
      <c r="B53" s="157" t="s">
        <v>322</v>
      </c>
      <c r="C53" s="157"/>
      <c r="D53" s="157"/>
    </row>
  </sheetData>
  <sheetProtection/>
  <mergeCells count="6">
    <mergeCell ref="A1:D1"/>
    <mergeCell ref="A2:D2"/>
    <mergeCell ref="A3:D3"/>
    <mergeCell ref="A47:B47"/>
    <mergeCell ref="D27:D28"/>
    <mergeCell ref="A50:C50"/>
  </mergeCells>
  <printOptions/>
  <pageMargins left="0.6299212598425197" right="0.2362204724409449" top="0.35433070866141736" bottom="0.35433070866141736" header="0" footer="0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4"/>
  <sheetViews>
    <sheetView view="pageBreakPreview" zoomScale="115" zoomScaleSheetLayoutView="115" zoomScalePageLayoutView="0" workbookViewId="0" topLeftCell="A16">
      <selection activeCell="D12" sqref="D12"/>
    </sheetView>
  </sheetViews>
  <sheetFormatPr defaultColWidth="9.140625" defaultRowHeight="12.75" outlineLevelRow="1"/>
  <cols>
    <col min="1" max="1" width="4.421875" style="5" customWidth="1"/>
    <col min="2" max="2" width="17.00390625" style="2" customWidth="1"/>
    <col min="3" max="3" width="15.57421875" style="2" customWidth="1"/>
    <col min="4" max="4" width="13.57421875" style="2" customWidth="1"/>
    <col min="5" max="5" width="14.00390625" style="2" customWidth="1"/>
    <col min="6" max="6" width="18.140625" style="2" customWidth="1"/>
    <col min="7" max="7" width="12.8515625" style="2" customWidth="1"/>
    <col min="8" max="8" width="13.7109375" style="2" bestFit="1" customWidth="1"/>
    <col min="9" max="9" width="11.421875" style="2" customWidth="1"/>
    <col min="10" max="10" width="11.00390625" style="2" customWidth="1"/>
    <col min="11" max="16384" width="9.140625" style="2" customWidth="1"/>
  </cols>
  <sheetData>
    <row r="1" spans="1:8" ht="15.75">
      <c r="A1" s="236" t="s">
        <v>33</v>
      </c>
      <c r="B1" s="236"/>
      <c r="C1" s="236"/>
      <c r="D1" s="236"/>
      <c r="E1" s="236"/>
      <c r="F1" s="236"/>
      <c r="G1" s="78"/>
      <c r="H1" s="2" t="s">
        <v>331</v>
      </c>
    </row>
    <row r="2" spans="1:8" ht="15.75">
      <c r="A2" s="236" t="s">
        <v>62</v>
      </c>
      <c r="B2" s="236"/>
      <c r="C2" s="236"/>
      <c r="D2" s="236"/>
      <c r="E2" s="236"/>
      <c r="F2" s="236"/>
      <c r="G2" s="3"/>
      <c r="H2" s="4">
        <v>89114758510</v>
      </c>
    </row>
    <row r="3" spans="11:13" ht="12.75" customHeight="1">
      <c r="K3" s="2" t="s">
        <v>130</v>
      </c>
      <c r="M3" s="2">
        <v>5746</v>
      </c>
    </row>
    <row r="4" spans="1:13" ht="15.75">
      <c r="A4" s="6" t="s">
        <v>10</v>
      </c>
      <c r="C4" s="6"/>
      <c r="D4" s="6">
        <f>2135.4+2335</f>
        <v>4470.4</v>
      </c>
      <c r="E4" s="6" t="s">
        <v>11</v>
      </c>
      <c r="F4" s="6"/>
      <c r="M4" s="2">
        <f>M3*9</f>
        <v>51714</v>
      </c>
    </row>
    <row r="6" spans="1:9" ht="16.5" customHeight="1">
      <c r="A6" s="3" t="s">
        <v>12</v>
      </c>
      <c r="C6" s="3"/>
      <c r="D6" s="7">
        <v>45358.31</v>
      </c>
      <c r="E6" s="3" t="s">
        <v>13</v>
      </c>
      <c r="F6" s="3"/>
      <c r="I6" s="19"/>
    </row>
    <row r="7" spans="1:6" ht="15.75">
      <c r="A7" s="3" t="s">
        <v>14</v>
      </c>
      <c r="C7" s="6"/>
      <c r="D7" s="8">
        <v>-110106.5</v>
      </c>
      <c r="E7" s="6" t="s">
        <v>15</v>
      </c>
      <c r="F7" s="6"/>
    </row>
    <row r="8" spans="2:6" ht="15.75">
      <c r="B8" s="6"/>
      <c r="C8" s="6"/>
      <c r="D8" s="6"/>
      <c r="E8" s="6"/>
      <c r="F8" s="9" t="s">
        <v>16</v>
      </c>
    </row>
    <row r="9" spans="1:6" ht="47.25">
      <c r="A9" s="1" t="s">
        <v>17</v>
      </c>
      <c r="B9" s="10" t="s">
        <v>18</v>
      </c>
      <c r="C9" s="11" t="s">
        <v>19</v>
      </c>
      <c r="D9" s="11" t="s">
        <v>0</v>
      </c>
      <c r="E9" s="11" t="s">
        <v>20</v>
      </c>
      <c r="F9" s="11" t="s">
        <v>34</v>
      </c>
    </row>
    <row r="10" spans="1:9" s="5" customFormat="1" ht="32.25" customHeight="1">
      <c r="A10" s="1">
        <v>1</v>
      </c>
      <c r="B10" s="97" t="s">
        <v>1</v>
      </c>
      <c r="C10" s="20">
        <v>110106.5</v>
      </c>
      <c r="D10" s="20">
        <v>831494.4</v>
      </c>
      <c r="E10" s="20">
        <v>849197.23</v>
      </c>
      <c r="F10" s="20">
        <v>92403.67</v>
      </c>
      <c r="G10" s="2" t="s">
        <v>36</v>
      </c>
      <c r="H10" s="77">
        <v>15.5</v>
      </c>
      <c r="I10" s="19">
        <f>H10*12*H18</f>
        <v>831494.3999999999</v>
      </c>
    </row>
    <row r="11" spans="1:9" s="5" customFormat="1" ht="32.25" customHeight="1">
      <c r="A11" s="1">
        <v>2</v>
      </c>
      <c r="B11" s="97" t="s">
        <v>325</v>
      </c>
      <c r="C11" s="20">
        <v>0</v>
      </c>
      <c r="D11" s="20">
        <v>86204.1</v>
      </c>
      <c r="E11" s="20">
        <v>76541.37</v>
      </c>
      <c r="F11" s="20">
        <f>D11-E11</f>
        <v>9662.73000000001</v>
      </c>
      <c r="G11" s="2" t="s">
        <v>36</v>
      </c>
      <c r="H11" s="77">
        <v>15.5</v>
      </c>
      <c r="I11" s="19">
        <f>H11*12*H18</f>
        <v>831494.3999999999</v>
      </c>
    </row>
    <row r="12" spans="1:13" s="117" customFormat="1" ht="30" customHeight="1">
      <c r="A12" s="115"/>
      <c r="B12" s="13" t="s">
        <v>2</v>
      </c>
      <c r="C12" s="116">
        <f>C10+C11</f>
        <v>110106.5</v>
      </c>
      <c r="D12" s="116">
        <f>D10+D11</f>
        <v>917698.5</v>
      </c>
      <c r="E12" s="116">
        <f>E10+E11</f>
        <v>925738.6</v>
      </c>
      <c r="F12" s="116">
        <f>C12+D12-E12</f>
        <v>102066.40000000002</v>
      </c>
      <c r="G12" s="3" t="s">
        <v>37</v>
      </c>
      <c r="H12" s="15">
        <f>1.94+4.78</f>
        <v>6.720000000000001</v>
      </c>
      <c r="I12" s="19">
        <f>H12*12*H18</f>
        <v>360493.05600000004</v>
      </c>
      <c r="L12" s="12"/>
      <c r="M12" s="12"/>
    </row>
    <row r="13" spans="7:9" ht="19.5" customHeight="1">
      <c r="G13" s="6" t="s">
        <v>40</v>
      </c>
      <c r="I13" s="18" t="e">
        <f>H13*12*H17</f>
        <v>#VALUE!</v>
      </c>
    </row>
    <row r="14" spans="7:9" ht="19.5" customHeight="1">
      <c r="G14" s="6"/>
      <c r="I14" s="18"/>
    </row>
    <row r="15" spans="1:6" ht="11.25" customHeight="1">
      <c r="A15" s="236" t="s">
        <v>21</v>
      </c>
      <c r="B15" s="236"/>
      <c r="C15" s="236"/>
      <c r="D15" s="236"/>
      <c r="E15" s="236"/>
      <c r="F15" s="236"/>
    </row>
    <row r="16" spans="1:6" ht="15.75">
      <c r="A16" s="78"/>
      <c r="B16" s="78"/>
      <c r="C16" s="78"/>
      <c r="D16" s="78"/>
      <c r="E16" s="78"/>
      <c r="F16" s="78"/>
    </row>
    <row r="17" spans="1:8" ht="31.5">
      <c r="A17" s="11" t="s">
        <v>35</v>
      </c>
      <c r="B17" s="237" t="s">
        <v>3</v>
      </c>
      <c r="C17" s="238"/>
      <c r="D17" s="238"/>
      <c r="E17" s="239"/>
      <c r="F17" s="13" t="s">
        <v>9</v>
      </c>
      <c r="H17" s="2" t="s">
        <v>22</v>
      </c>
    </row>
    <row r="18" spans="1:8" ht="15.75" customHeight="1">
      <c r="A18" s="11">
        <v>1</v>
      </c>
      <c r="B18" s="232" t="s">
        <v>4</v>
      </c>
      <c r="C18" s="233"/>
      <c r="D18" s="233"/>
      <c r="E18" s="234"/>
      <c r="F18" s="45">
        <v>404191</v>
      </c>
      <c r="G18" s="14"/>
      <c r="H18" s="2">
        <f>D4</f>
        <v>4470.4</v>
      </c>
    </row>
    <row r="19" spans="1:10" ht="18" customHeight="1">
      <c r="A19" s="11">
        <v>2</v>
      </c>
      <c r="B19" s="232" t="s">
        <v>38</v>
      </c>
      <c r="C19" s="233"/>
      <c r="D19" s="233"/>
      <c r="E19" s="234"/>
      <c r="F19" s="45">
        <f>0.21*6*H18+0.19*H18*6</f>
        <v>10728.96</v>
      </c>
      <c r="G19" s="6"/>
      <c r="H19" s="2" t="s">
        <v>23</v>
      </c>
      <c r="I19" s="2" t="s">
        <v>24</v>
      </c>
      <c r="J19" s="2" t="s">
        <v>25</v>
      </c>
    </row>
    <row r="20" spans="1:10" ht="18" customHeight="1">
      <c r="A20" s="11">
        <v>3</v>
      </c>
      <c r="B20" s="232" t="s">
        <v>26</v>
      </c>
      <c r="C20" s="233"/>
      <c r="D20" s="233"/>
      <c r="E20" s="234"/>
      <c r="F20" s="45">
        <f>I21+100*12</f>
        <v>62676</v>
      </c>
      <c r="G20" s="6"/>
      <c r="H20" s="2" t="s">
        <v>329</v>
      </c>
      <c r="I20" s="12">
        <v>5123</v>
      </c>
      <c r="J20" s="12">
        <v>4728</v>
      </c>
    </row>
    <row r="21" spans="1:10" ht="18" customHeight="1">
      <c r="A21" s="11">
        <v>4</v>
      </c>
      <c r="B21" s="232" t="s">
        <v>65</v>
      </c>
      <c r="C21" s="233"/>
      <c r="D21" s="233"/>
      <c r="E21" s="234"/>
      <c r="F21" s="45">
        <f>J21+100*12</f>
        <v>57936</v>
      </c>
      <c r="G21" s="82"/>
      <c r="I21" s="2">
        <f>I20*12</f>
        <v>61476</v>
      </c>
      <c r="J21" s="2">
        <f>J20*12</f>
        <v>56736</v>
      </c>
    </row>
    <row r="22" spans="1:7" ht="18" customHeight="1">
      <c r="A22" s="11">
        <v>5</v>
      </c>
      <c r="B22" s="232" t="s">
        <v>5</v>
      </c>
      <c r="C22" s="233"/>
      <c r="D22" s="233"/>
      <c r="E22" s="234"/>
      <c r="F22" s="45">
        <f>F23+F24+F25</f>
        <v>125497.29</v>
      </c>
      <c r="G22" s="6"/>
    </row>
    <row r="23" spans="1:10" ht="18" customHeight="1">
      <c r="A23" s="11" t="s">
        <v>6</v>
      </c>
      <c r="B23" s="232" t="s">
        <v>27</v>
      </c>
      <c r="C23" s="233"/>
      <c r="D23" s="233"/>
      <c r="E23" s="234"/>
      <c r="F23" s="45">
        <f>H40</f>
        <v>70305</v>
      </c>
      <c r="G23" s="83">
        <f>F84</f>
        <v>129271.29000000001</v>
      </c>
      <c r="H23" s="2" t="s">
        <v>149</v>
      </c>
      <c r="J23" s="2">
        <f>800*2</f>
        <v>1600</v>
      </c>
    </row>
    <row r="24" spans="1:7" ht="16.5" customHeight="1">
      <c r="A24" s="11" t="s">
        <v>6</v>
      </c>
      <c r="B24" s="232" t="s">
        <v>28</v>
      </c>
      <c r="C24" s="233"/>
      <c r="D24" s="233"/>
      <c r="E24" s="234"/>
      <c r="F24" s="45">
        <f>H41</f>
        <v>52202</v>
      </c>
      <c r="G24" s="6"/>
    </row>
    <row r="25" spans="1:12" ht="16.5" customHeight="1">
      <c r="A25" s="11" t="s">
        <v>6</v>
      </c>
      <c r="B25" s="232" t="s">
        <v>29</v>
      </c>
      <c r="C25" s="233"/>
      <c r="D25" s="233"/>
      <c r="E25" s="234"/>
      <c r="F25" s="45">
        <f>H42</f>
        <v>2990.29</v>
      </c>
      <c r="G25" s="6"/>
      <c r="H25" s="2" t="s">
        <v>150</v>
      </c>
      <c r="I25" s="2">
        <v>600</v>
      </c>
      <c r="L25" s="2" t="s">
        <v>326</v>
      </c>
    </row>
    <row r="26" spans="1:13" ht="16.5" customHeight="1">
      <c r="A26" s="11">
        <v>6</v>
      </c>
      <c r="B26" s="229" t="s">
        <v>155</v>
      </c>
      <c r="C26" s="230"/>
      <c r="D26" s="230"/>
      <c r="E26" s="231"/>
      <c r="F26" s="45">
        <f>J23*12</f>
        <v>19200</v>
      </c>
      <c r="G26" s="6"/>
      <c r="I26" s="2">
        <v>1800</v>
      </c>
      <c r="L26" s="2">
        <v>5067.6</v>
      </c>
      <c r="M26" s="2" t="s">
        <v>327</v>
      </c>
    </row>
    <row r="27" spans="1:13" ht="17.25" customHeight="1">
      <c r="A27" s="11">
        <v>7</v>
      </c>
      <c r="B27" s="229" t="s">
        <v>154</v>
      </c>
      <c r="C27" s="230"/>
      <c r="D27" s="230"/>
      <c r="E27" s="231"/>
      <c r="F27" s="45">
        <f>SUM(I25:I32)</f>
        <v>10200</v>
      </c>
      <c r="G27" s="6"/>
      <c r="I27" s="2">
        <v>1800</v>
      </c>
      <c r="L27" s="2">
        <v>5097.6</v>
      </c>
      <c r="M27" s="2" t="s">
        <v>328</v>
      </c>
    </row>
    <row r="28" spans="1:13" ht="17.25" customHeight="1">
      <c r="A28" s="11">
        <v>8</v>
      </c>
      <c r="B28" s="229" t="s">
        <v>67</v>
      </c>
      <c r="C28" s="230"/>
      <c r="D28" s="230"/>
      <c r="E28" s="231"/>
      <c r="F28" s="45">
        <f>5097.6*12+2600*2+2400*2</f>
        <v>71171.20000000001</v>
      </c>
      <c r="G28" s="6"/>
      <c r="I28" s="2">
        <v>2400</v>
      </c>
      <c r="L28" s="2">
        <v>5097.6</v>
      </c>
      <c r="M28" s="2" t="s">
        <v>330</v>
      </c>
    </row>
    <row r="29" spans="1:13" s="15" customFormat="1" ht="18.75" customHeight="1">
      <c r="A29" s="11">
        <v>9</v>
      </c>
      <c r="B29" s="229" t="s">
        <v>39</v>
      </c>
      <c r="C29" s="230"/>
      <c r="D29" s="230"/>
      <c r="E29" s="231"/>
      <c r="F29" s="45">
        <f>2.23*H18*12</f>
        <v>119627.90399999998</v>
      </c>
      <c r="G29" s="3"/>
      <c r="I29" s="2">
        <v>1800</v>
      </c>
      <c r="J29" s="15" t="s">
        <v>309</v>
      </c>
      <c r="L29" s="2">
        <v>5097.6</v>
      </c>
      <c r="M29" s="2" t="s">
        <v>332</v>
      </c>
    </row>
    <row r="30" spans="1:13" ht="15.75" customHeight="1">
      <c r="A30" s="11">
        <v>10</v>
      </c>
      <c r="B30" s="232" t="s">
        <v>325</v>
      </c>
      <c r="C30" s="233"/>
      <c r="D30" s="233"/>
      <c r="E30" s="234"/>
      <c r="F30" s="45">
        <f>D11</f>
        <v>86204.1</v>
      </c>
      <c r="I30" s="2">
        <v>1800</v>
      </c>
      <c r="J30" s="2" t="s">
        <v>309</v>
      </c>
      <c r="L30" s="2">
        <v>5097.6</v>
      </c>
      <c r="M30" s="2" t="s">
        <v>333</v>
      </c>
    </row>
    <row r="31" spans="1:6" ht="15.75" customHeight="1">
      <c r="A31" s="79"/>
      <c r="B31" s="242" t="s">
        <v>7</v>
      </c>
      <c r="C31" s="243"/>
      <c r="D31" s="243"/>
      <c r="E31" s="244"/>
      <c r="F31" s="17">
        <f>F18+F19+F20+F21+F22+F26+F27+F28+F29+F30</f>
        <v>967432.4539999999</v>
      </c>
    </row>
    <row r="32" spans="1:6" ht="18" customHeight="1">
      <c r="A32" s="1"/>
      <c r="B32" s="10"/>
      <c r="C32" s="10"/>
      <c r="D32" s="10"/>
      <c r="E32" s="10"/>
      <c r="F32" s="10"/>
    </row>
    <row r="33" spans="1:6" ht="15.75">
      <c r="A33" s="85" t="s">
        <v>310</v>
      </c>
      <c r="B33" s="85"/>
      <c r="C33" s="85"/>
      <c r="D33" s="85"/>
      <c r="E33" s="85"/>
      <c r="F33" s="45">
        <f>D6+D12-F31</f>
        <v>-4375.643999999855</v>
      </c>
    </row>
    <row r="34" spans="1:8" ht="18" customHeight="1">
      <c r="A34" s="245" t="s">
        <v>307</v>
      </c>
      <c r="B34" s="246"/>
      <c r="C34" s="246"/>
      <c r="D34" s="246"/>
      <c r="E34" s="247"/>
      <c r="F34" s="45">
        <f>F12</f>
        <v>102066.40000000002</v>
      </c>
      <c r="G34" s="2">
        <f>F33/12/H18</f>
        <v>-0.08156697387258141</v>
      </c>
      <c r="H34" s="2">
        <f>H11+G34</f>
        <v>15.418433026127419</v>
      </c>
    </row>
    <row r="35" spans="1:6" ht="16.5" customHeight="1" outlineLevel="1">
      <c r="A35" s="248" t="s">
        <v>156</v>
      </c>
      <c r="B35" s="249"/>
      <c r="C35" s="249"/>
      <c r="D35" s="249"/>
      <c r="E35" s="250"/>
      <c r="F35" s="84">
        <f>F33+F34</f>
        <v>97690.75600000017</v>
      </c>
    </row>
    <row r="36" spans="2:5" ht="50.25" customHeight="1">
      <c r="B36" s="251" t="s">
        <v>323</v>
      </c>
      <c r="C36" s="251"/>
      <c r="D36" s="251"/>
      <c r="E36" s="251"/>
    </row>
    <row r="37" spans="1:6" ht="15.75">
      <c r="A37" s="16" t="s">
        <v>17</v>
      </c>
      <c r="B37" s="16" t="s">
        <v>8</v>
      </c>
      <c r="C37" s="226" t="s">
        <v>30</v>
      </c>
      <c r="D37" s="227"/>
      <c r="E37" s="228"/>
      <c r="F37" s="16" t="s">
        <v>31</v>
      </c>
    </row>
    <row r="38" spans="1:6" ht="15.75" customHeight="1">
      <c r="A38" s="47">
        <v>1</v>
      </c>
      <c r="B38" s="48">
        <v>42041</v>
      </c>
      <c r="C38" s="261" t="s">
        <v>42</v>
      </c>
      <c r="D38" s="262"/>
      <c r="E38" s="263"/>
      <c r="F38" s="80">
        <v>864</v>
      </c>
    </row>
    <row r="39" spans="1:6" ht="30.75" customHeight="1">
      <c r="A39" s="47">
        <v>2</v>
      </c>
      <c r="B39" s="48">
        <v>42054</v>
      </c>
      <c r="C39" s="255" t="s">
        <v>41</v>
      </c>
      <c r="D39" s="256"/>
      <c r="E39" s="257"/>
      <c r="F39" s="80">
        <v>811</v>
      </c>
    </row>
    <row r="40" spans="1:8" ht="15.75" customHeight="1">
      <c r="A40" s="47">
        <v>3</v>
      </c>
      <c r="B40" s="48">
        <v>42093</v>
      </c>
      <c r="C40" s="258" t="s">
        <v>43</v>
      </c>
      <c r="D40" s="259"/>
      <c r="E40" s="260"/>
      <c r="F40" s="51">
        <v>1168</v>
      </c>
      <c r="G40" s="2" t="s">
        <v>304</v>
      </c>
      <c r="H40" s="18">
        <f>F39+F41+F44+F45+F46+F47+F56+F57+F60+F61+F62+F63+F64+F65+F66+F67+F71+F72+F73+F74+F75+F79+F80</f>
        <v>70305</v>
      </c>
    </row>
    <row r="41" spans="1:8" ht="32.25" customHeight="1">
      <c r="A41" s="47">
        <v>4</v>
      </c>
      <c r="B41" s="48">
        <v>42102</v>
      </c>
      <c r="C41" s="255" t="s">
        <v>61</v>
      </c>
      <c r="D41" s="256"/>
      <c r="E41" s="257"/>
      <c r="F41" s="51">
        <v>1665</v>
      </c>
      <c r="G41" s="2" t="s">
        <v>305</v>
      </c>
      <c r="H41" s="18">
        <f>F38+F42+F43+F48+F50+F51+F52+F53+F54+F58+F59+F68+F69+F70+F76+F77+F78</f>
        <v>52202</v>
      </c>
    </row>
    <row r="42" spans="1:8" ht="15.75" customHeight="1">
      <c r="A42" s="47">
        <v>5</v>
      </c>
      <c r="B42" s="48">
        <v>42107</v>
      </c>
      <c r="C42" s="261" t="s">
        <v>45</v>
      </c>
      <c r="D42" s="262"/>
      <c r="E42" s="263"/>
      <c r="F42" s="51">
        <v>2889.5</v>
      </c>
      <c r="G42" s="2" t="s">
        <v>306</v>
      </c>
      <c r="H42" s="18">
        <f>F40+F49+F55</f>
        <v>2990.29</v>
      </c>
    </row>
    <row r="43" spans="1:6" ht="15.75" customHeight="1">
      <c r="A43" s="47">
        <v>6</v>
      </c>
      <c r="B43" s="48">
        <v>42107</v>
      </c>
      <c r="C43" s="261" t="s">
        <v>45</v>
      </c>
      <c r="D43" s="262"/>
      <c r="E43" s="263"/>
      <c r="F43" s="51">
        <v>2642.5</v>
      </c>
    </row>
    <row r="44" spans="1:6" ht="31.5" customHeight="1">
      <c r="A44" s="47">
        <v>7</v>
      </c>
      <c r="B44" s="48">
        <v>42122</v>
      </c>
      <c r="C44" s="255" t="s">
        <v>60</v>
      </c>
      <c r="D44" s="256"/>
      <c r="E44" s="257"/>
      <c r="F44" s="51">
        <v>377</v>
      </c>
    </row>
    <row r="45" spans="1:6" ht="32.25" customHeight="1">
      <c r="A45" s="47">
        <v>8</v>
      </c>
      <c r="B45" s="48">
        <v>42122</v>
      </c>
      <c r="C45" s="255" t="s">
        <v>44</v>
      </c>
      <c r="D45" s="256"/>
      <c r="E45" s="257"/>
      <c r="F45" s="51">
        <v>377</v>
      </c>
    </row>
    <row r="46" spans="1:6" ht="15.75" customHeight="1">
      <c r="A46" s="47">
        <v>9</v>
      </c>
      <c r="B46" s="48">
        <v>42130</v>
      </c>
      <c r="C46" s="264" t="s">
        <v>59</v>
      </c>
      <c r="D46" s="265"/>
      <c r="E46" s="266"/>
      <c r="F46" s="51">
        <v>1449</v>
      </c>
    </row>
    <row r="47" spans="1:6" ht="15.75" customHeight="1">
      <c r="A47" s="47">
        <v>10</v>
      </c>
      <c r="B47" s="48">
        <v>42149</v>
      </c>
      <c r="C47" s="264" t="s">
        <v>151</v>
      </c>
      <c r="D47" s="265"/>
      <c r="E47" s="266"/>
      <c r="F47" s="51">
        <v>4500</v>
      </c>
    </row>
    <row r="48" spans="1:6" ht="15.75" customHeight="1">
      <c r="A48" s="47">
        <v>11</v>
      </c>
      <c r="B48" s="48">
        <v>42150</v>
      </c>
      <c r="C48" s="267" t="s">
        <v>42</v>
      </c>
      <c r="D48" s="268"/>
      <c r="E48" s="269"/>
      <c r="F48" s="51">
        <v>529</v>
      </c>
    </row>
    <row r="49" spans="1:6" ht="15.75">
      <c r="A49" s="47">
        <v>12</v>
      </c>
      <c r="B49" s="48">
        <v>42156</v>
      </c>
      <c r="C49" s="279" t="s">
        <v>152</v>
      </c>
      <c r="D49" s="280"/>
      <c r="E49" s="281"/>
      <c r="F49" s="81">
        <f>180+1105.29</f>
        <v>1285.29</v>
      </c>
    </row>
    <row r="50" spans="1:6" ht="15.75">
      <c r="A50" s="47">
        <v>13</v>
      </c>
      <c r="B50" s="48">
        <v>42160</v>
      </c>
      <c r="C50" s="273" t="s">
        <v>58</v>
      </c>
      <c r="D50" s="274"/>
      <c r="E50" s="275"/>
      <c r="F50" s="81">
        <v>807</v>
      </c>
    </row>
    <row r="51" spans="1:6" ht="15.75">
      <c r="A51" s="47">
        <v>14</v>
      </c>
      <c r="B51" s="48">
        <v>42163</v>
      </c>
      <c r="C51" s="273" t="s">
        <v>46</v>
      </c>
      <c r="D51" s="274"/>
      <c r="E51" s="275"/>
      <c r="F51" s="81">
        <v>5944</v>
      </c>
    </row>
    <row r="52" spans="1:6" ht="15.75">
      <c r="A52" s="47">
        <v>15</v>
      </c>
      <c r="B52" s="48">
        <v>42164</v>
      </c>
      <c r="C52" s="273" t="s">
        <v>57</v>
      </c>
      <c r="D52" s="274"/>
      <c r="E52" s="275"/>
      <c r="F52" s="81">
        <v>984</v>
      </c>
    </row>
    <row r="53" spans="1:6" ht="15.75" customHeight="1">
      <c r="A53" s="47">
        <v>16</v>
      </c>
      <c r="B53" s="48">
        <v>42170</v>
      </c>
      <c r="C53" s="270" t="s">
        <v>47</v>
      </c>
      <c r="D53" s="271"/>
      <c r="E53" s="272"/>
      <c r="F53" s="51">
        <v>7482</v>
      </c>
    </row>
    <row r="54" spans="1:6" ht="15.75">
      <c r="A54" s="47">
        <v>17</v>
      </c>
      <c r="B54" s="48">
        <v>42174</v>
      </c>
      <c r="C54" s="273" t="s">
        <v>57</v>
      </c>
      <c r="D54" s="274"/>
      <c r="E54" s="275"/>
      <c r="F54" s="81">
        <v>984</v>
      </c>
    </row>
    <row r="55" spans="1:6" ht="15.75" customHeight="1">
      <c r="A55" s="47">
        <v>18</v>
      </c>
      <c r="B55" s="48">
        <v>42186</v>
      </c>
      <c r="C55" s="276" t="s">
        <v>48</v>
      </c>
      <c r="D55" s="277"/>
      <c r="E55" s="278"/>
      <c r="F55" s="51">
        <v>537</v>
      </c>
    </row>
    <row r="56" spans="1:6" ht="30" customHeight="1">
      <c r="A56" s="47">
        <v>19</v>
      </c>
      <c r="B56" s="48">
        <v>42191</v>
      </c>
      <c r="C56" s="255" t="s">
        <v>56</v>
      </c>
      <c r="D56" s="256"/>
      <c r="E56" s="257"/>
      <c r="F56" s="49">
        <v>3257</v>
      </c>
    </row>
    <row r="57" spans="1:6" ht="30" customHeight="1">
      <c r="A57" s="47">
        <v>20</v>
      </c>
      <c r="B57" s="48">
        <v>42192</v>
      </c>
      <c r="C57" s="255" t="s">
        <v>56</v>
      </c>
      <c r="D57" s="256"/>
      <c r="E57" s="257"/>
      <c r="F57" s="49">
        <v>1066</v>
      </c>
    </row>
    <row r="58" spans="1:6" ht="30" customHeight="1">
      <c r="A58" s="47">
        <v>21</v>
      </c>
      <c r="B58" s="48">
        <v>42202</v>
      </c>
      <c r="C58" s="267" t="s">
        <v>50</v>
      </c>
      <c r="D58" s="268"/>
      <c r="E58" s="269"/>
      <c r="F58" s="49">
        <v>2269</v>
      </c>
    </row>
    <row r="59" spans="1:6" ht="27" customHeight="1">
      <c r="A59" s="47">
        <v>22</v>
      </c>
      <c r="B59" s="48">
        <v>42202</v>
      </c>
      <c r="C59" s="267" t="s">
        <v>50</v>
      </c>
      <c r="D59" s="268"/>
      <c r="E59" s="269"/>
      <c r="F59" s="49">
        <v>2075</v>
      </c>
    </row>
    <row r="60" spans="1:6" ht="30" customHeight="1">
      <c r="A60" s="47">
        <v>23</v>
      </c>
      <c r="B60" s="48" t="s">
        <v>55</v>
      </c>
      <c r="C60" s="264" t="s">
        <v>66</v>
      </c>
      <c r="D60" s="265"/>
      <c r="E60" s="266"/>
      <c r="F60" s="49">
        <v>31504</v>
      </c>
    </row>
    <row r="61" spans="1:6" ht="30" customHeight="1">
      <c r="A61" s="47">
        <v>24</v>
      </c>
      <c r="B61" s="48">
        <v>42209</v>
      </c>
      <c r="C61" s="264" t="s">
        <v>54</v>
      </c>
      <c r="D61" s="265"/>
      <c r="E61" s="266"/>
      <c r="F61" s="49">
        <v>1205</v>
      </c>
    </row>
    <row r="62" spans="1:6" ht="31.5" customHeight="1">
      <c r="A62" s="47">
        <v>25</v>
      </c>
      <c r="B62" s="48">
        <v>42212</v>
      </c>
      <c r="C62" s="264" t="s">
        <v>49</v>
      </c>
      <c r="D62" s="265"/>
      <c r="E62" s="266"/>
      <c r="F62" s="49">
        <v>11258</v>
      </c>
    </row>
    <row r="63" spans="1:6" ht="15.75" customHeight="1">
      <c r="A63" s="47">
        <v>26</v>
      </c>
      <c r="B63" s="48">
        <v>42220</v>
      </c>
      <c r="C63" s="255" t="s">
        <v>53</v>
      </c>
      <c r="D63" s="256"/>
      <c r="E63" s="257"/>
      <c r="F63" s="51">
        <v>840</v>
      </c>
    </row>
    <row r="64" spans="1:6" ht="31.5" customHeight="1">
      <c r="A64" s="47">
        <v>27</v>
      </c>
      <c r="B64" s="48">
        <v>42222</v>
      </c>
      <c r="C64" s="255" t="s">
        <v>44</v>
      </c>
      <c r="D64" s="256"/>
      <c r="E64" s="257"/>
      <c r="F64" s="51">
        <v>377</v>
      </c>
    </row>
    <row r="65" spans="1:6" ht="30" customHeight="1">
      <c r="A65" s="47">
        <v>28</v>
      </c>
      <c r="B65" s="48">
        <v>42223</v>
      </c>
      <c r="C65" s="255" t="s">
        <v>52</v>
      </c>
      <c r="D65" s="256"/>
      <c r="E65" s="257"/>
      <c r="F65" s="51">
        <v>377</v>
      </c>
    </row>
    <row r="66" spans="1:6" ht="30" customHeight="1">
      <c r="A66" s="47">
        <v>29</v>
      </c>
      <c r="B66" s="48">
        <v>42230</v>
      </c>
      <c r="C66" s="255" t="s">
        <v>51</v>
      </c>
      <c r="D66" s="256"/>
      <c r="E66" s="257"/>
      <c r="F66" s="51">
        <v>2249</v>
      </c>
    </row>
    <row r="67" spans="1:6" s="50" customFormat="1" ht="15" customHeight="1">
      <c r="A67" s="47">
        <v>30</v>
      </c>
      <c r="B67" s="48">
        <v>42242</v>
      </c>
      <c r="C67" s="255" t="s">
        <v>51</v>
      </c>
      <c r="D67" s="256"/>
      <c r="E67" s="257"/>
      <c r="F67" s="51">
        <v>1024</v>
      </c>
    </row>
    <row r="68" spans="1:6" s="50" customFormat="1" ht="15" customHeight="1">
      <c r="A68" s="47">
        <v>31</v>
      </c>
      <c r="B68" s="48">
        <v>42248</v>
      </c>
      <c r="C68" s="261" t="s">
        <v>63</v>
      </c>
      <c r="D68" s="262"/>
      <c r="E68" s="263"/>
      <c r="F68" s="51">
        <v>223</v>
      </c>
    </row>
    <row r="69" spans="1:6" s="50" customFormat="1" ht="15" customHeight="1">
      <c r="A69" s="47">
        <v>32</v>
      </c>
      <c r="B69" s="48">
        <v>42251</v>
      </c>
      <c r="C69" s="261" t="s">
        <v>64</v>
      </c>
      <c r="D69" s="262"/>
      <c r="E69" s="263"/>
      <c r="F69" s="51">
        <v>545</v>
      </c>
    </row>
    <row r="70" spans="1:6" s="50" customFormat="1" ht="15" customHeight="1">
      <c r="A70" s="47">
        <v>33</v>
      </c>
      <c r="B70" s="48">
        <v>42291</v>
      </c>
      <c r="C70" s="261" t="s">
        <v>148</v>
      </c>
      <c r="D70" s="262"/>
      <c r="E70" s="263"/>
      <c r="F70" s="51">
        <v>776</v>
      </c>
    </row>
    <row r="71" spans="1:6" s="50" customFormat="1" ht="15" customHeight="1">
      <c r="A71" s="47">
        <v>34</v>
      </c>
      <c r="B71" s="48">
        <v>42291</v>
      </c>
      <c r="C71" s="255" t="s">
        <v>146</v>
      </c>
      <c r="D71" s="256"/>
      <c r="E71" s="257"/>
      <c r="F71" s="51">
        <v>936</v>
      </c>
    </row>
    <row r="72" spans="1:6" s="50" customFormat="1" ht="32.25" customHeight="1">
      <c r="A72" s="47">
        <v>35</v>
      </c>
      <c r="B72" s="48" t="s">
        <v>147</v>
      </c>
      <c r="C72" s="255" t="s">
        <v>146</v>
      </c>
      <c r="D72" s="256"/>
      <c r="E72" s="257"/>
      <c r="F72" s="51">
        <f>840+1355</f>
        <v>2195</v>
      </c>
    </row>
    <row r="73" spans="1:6" s="50" customFormat="1" ht="15" customHeight="1">
      <c r="A73" s="47">
        <v>36</v>
      </c>
      <c r="B73" s="48">
        <v>42299</v>
      </c>
      <c r="C73" s="255" t="s">
        <v>51</v>
      </c>
      <c r="D73" s="256"/>
      <c r="E73" s="257"/>
      <c r="F73" s="51">
        <v>796</v>
      </c>
    </row>
    <row r="74" spans="1:6" s="50" customFormat="1" ht="27" customHeight="1">
      <c r="A74" s="47">
        <v>37</v>
      </c>
      <c r="B74" s="48">
        <v>42311</v>
      </c>
      <c r="C74" s="255" t="s">
        <v>302</v>
      </c>
      <c r="D74" s="256"/>
      <c r="E74" s="257"/>
      <c r="F74" s="49">
        <v>654</v>
      </c>
    </row>
    <row r="75" spans="1:6" s="50" customFormat="1" ht="30.75" customHeight="1">
      <c r="A75" s="47">
        <v>38</v>
      </c>
      <c r="B75" s="48">
        <v>42317</v>
      </c>
      <c r="C75" s="255" t="s">
        <v>302</v>
      </c>
      <c r="D75" s="256"/>
      <c r="E75" s="257"/>
      <c r="F75" s="51">
        <v>654</v>
      </c>
    </row>
    <row r="76" spans="1:13" s="15" customFormat="1" ht="15.75" customHeight="1">
      <c r="A76" s="47">
        <v>39</v>
      </c>
      <c r="B76" s="48">
        <v>42317</v>
      </c>
      <c r="C76" s="261" t="s">
        <v>148</v>
      </c>
      <c r="D76" s="262"/>
      <c r="E76" s="263"/>
      <c r="F76" s="51">
        <v>675</v>
      </c>
      <c r="L76" s="2"/>
      <c r="M76" s="2"/>
    </row>
    <row r="77" spans="1:6" s="50" customFormat="1" ht="15" customHeight="1">
      <c r="A77" s="47">
        <v>40</v>
      </c>
      <c r="B77" s="48">
        <v>42319</v>
      </c>
      <c r="C77" s="261" t="s">
        <v>46</v>
      </c>
      <c r="D77" s="262"/>
      <c r="E77" s="263"/>
      <c r="F77" s="51">
        <v>17122</v>
      </c>
    </row>
    <row r="78" spans="1:6" s="50" customFormat="1" ht="15" customHeight="1">
      <c r="A78" s="47">
        <v>41</v>
      </c>
      <c r="B78" s="48">
        <v>42325</v>
      </c>
      <c r="C78" s="261" t="s">
        <v>153</v>
      </c>
      <c r="D78" s="262"/>
      <c r="E78" s="263"/>
      <c r="F78" s="51">
        <v>5391</v>
      </c>
    </row>
    <row r="79" spans="1:6" s="50" customFormat="1" ht="15" customHeight="1">
      <c r="A79" s="47">
        <v>42</v>
      </c>
      <c r="B79" s="48">
        <v>42334</v>
      </c>
      <c r="C79" s="264" t="s">
        <v>303</v>
      </c>
      <c r="D79" s="265"/>
      <c r="E79" s="266"/>
      <c r="F79" s="49">
        <v>2033</v>
      </c>
    </row>
    <row r="80" spans="1:6" ht="30.75" customHeight="1">
      <c r="A80" s="47">
        <v>43</v>
      </c>
      <c r="B80" s="48">
        <v>42334</v>
      </c>
      <c r="C80" s="264" t="s">
        <v>146</v>
      </c>
      <c r="D80" s="265"/>
      <c r="E80" s="266"/>
      <c r="F80" s="49">
        <v>701</v>
      </c>
    </row>
    <row r="81" spans="1:13" s="15" customFormat="1" ht="15.75" customHeight="1">
      <c r="A81" s="47">
        <v>44</v>
      </c>
      <c r="B81" s="48">
        <v>42341</v>
      </c>
      <c r="C81" s="267" t="s">
        <v>148</v>
      </c>
      <c r="D81" s="268"/>
      <c r="E81" s="269"/>
      <c r="F81" s="49">
        <f>909+697</f>
        <v>1606</v>
      </c>
      <c r="G81" s="15" t="s">
        <v>329</v>
      </c>
      <c r="L81" s="2"/>
      <c r="M81" s="2"/>
    </row>
    <row r="82" spans="1:7" s="50" customFormat="1" ht="30.75" customHeight="1">
      <c r="A82" s="47">
        <v>45</v>
      </c>
      <c r="B82" s="48">
        <v>42361</v>
      </c>
      <c r="C82" s="255" t="s">
        <v>302</v>
      </c>
      <c r="D82" s="256"/>
      <c r="E82" s="257"/>
      <c r="F82" s="51">
        <v>654</v>
      </c>
      <c r="G82" s="50" t="s">
        <v>329</v>
      </c>
    </row>
    <row r="83" spans="1:7" s="50" customFormat="1" ht="15" customHeight="1">
      <c r="A83" s="47">
        <v>46</v>
      </c>
      <c r="B83" s="48">
        <v>42367</v>
      </c>
      <c r="C83" s="261" t="s">
        <v>148</v>
      </c>
      <c r="D83" s="262"/>
      <c r="E83" s="263"/>
      <c r="F83" s="51">
        <v>1514</v>
      </c>
      <c r="G83" s="50" t="s">
        <v>329</v>
      </c>
    </row>
    <row r="84" spans="1:6" ht="15.75">
      <c r="A84" s="252" t="s">
        <v>32</v>
      </c>
      <c r="B84" s="253"/>
      <c r="C84" s="253"/>
      <c r="D84" s="253"/>
      <c r="E84" s="254"/>
      <c r="F84" s="17">
        <f>SUM(F38:F83)</f>
        <v>129271.29000000001</v>
      </c>
    </row>
  </sheetData>
  <sheetProtection selectLockedCells="1" selectUnlockedCells="1"/>
  <mergeCells count="69">
    <mergeCell ref="B30:E30"/>
    <mergeCell ref="B26:E26"/>
    <mergeCell ref="B20:E20"/>
    <mergeCell ref="B21:E21"/>
    <mergeCell ref="A1:F1"/>
    <mergeCell ref="A2:F2"/>
    <mergeCell ref="A15:F15"/>
    <mergeCell ref="B17:E17"/>
    <mergeCell ref="B18:E18"/>
    <mergeCell ref="B19:E19"/>
    <mergeCell ref="A34:E34"/>
    <mergeCell ref="A35:E35"/>
    <mergeCell ref="B22:E22"/>
    <mergeCell ref="B23:E23"/>
    <mergeCell ref="B24:E24"/>
    <mergeCell ref="B25:E25"/>
    <mergeCell ref="B31:E31"/>
    <mergeCell ref="B28:E28"/>
    <mergeCell ref="B29:E29"/>
    <mergeCell ref="B27:E27"/>
    <mergeCell ref="C41:E41"/>
    <mergeCell ref="C42:E42"/>
    <mergeCell ref="C45:E45"/>
    <mergeCell ref="C46:E46"/>
    <mergeCell ref="C43:E43"/>
    <mergeCell ref="C44:E44"/>
    <mergeCell ref="C48:E48"/>
    <mergeCell ref="C50:E50"/>
    <mergeCell ref="C47:E47"/>
    <mergeCell ref="C52:E52"/>
    <mergeCell ref="C51:E51"/>
    <mergeCell ref="C49:E49"/>
    <mergeCell ref="C63:E63"/>
    <mergeCell ref="C64:E64"/>
    <mergeCell ref="C53:E53"/>
    <mergeCell ref="C54:E54"/>
    <mergeCell ref="C55:E55"/>
    <mergeCell ref="C56:E56"/>
    <mergeCell ref="C59:E59"/>
    <mergeCell ref="C57:E57"/>
    <mergeCell ref="C58:E58"/>
    <mergeCell ref="C69:E69"/>
    <mergeCell ref="C74:E74"/>
    <mergeCell ref="C75:E75"/>
    <mergeCell ref="C79:E79"/>
    <mergeCell ref="C76:E76"/>
    <mergeCell ref="C60:E60"/>
    <mergeCell ref="C61:E61"/>
    <mergeCell ref="C62:E62"/>
    <mergeCell ref="C65:E65"/>
    <mergeCell ref="C66:E66"/>
    <mergeCell ref="A84:E84"/>
    <mergeCell ref="C80:E80"/>
    <mergeCell ref="C73:E73"/>
    <mergeCell ref="C77:E77"/>
    <mergeCell ref="C78:E78"/>
    <mergeCell ref="C82:E82"/>
    <mergeCell ref="C81:E81"/>
    <mergeCell ref="C83:E83"/>
    <mergeCell ref="B36:E36"/>
    <mergeCell ref="C72:E72"/>
    <mergeCell ref="C71:E71"/>
    <mergeCell ref="C40:E40"/>
    <mergeCell ref="C39:E39"/>
    <mergeCell ref="C38:E38"/>
    <mergeCell ref="C37:E37"/>
    <mergeCell ref="C67:E67"/>
    <mergeCell ref="C68:E68"/>
    <mergeCell ref="C70:E70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r:id="rId1"/>
  <rowBreaks count="2" manualBreakCount="2">
    <brk id="35" max="5" man="1"/>
    <brk id="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2"/>
  <sheetViews>
    <sheetView view="pageBreakPreview" zoomScaleSheetLayoutView="100" zoomScalePageLayoutView="0" workbookViewId="0" topLeftCell="A19">
      <selection activeCell="F27" sqref="F27"/>
    </sheetView>
  </sheetViews>
  <sheetFormatPr defaultColWidth="9.140625" defaultRowHeight="12.75" outlineLevelRow="1"/>
  <cols>
    <col min="1" max="1" width="4.421875" style="5" customWidth="1"/>
    <col min="2" max="2" width="48.57421875" style="2" customWidth="1"/>
    <col min="3" max="3" width="18.140625" style="2" customWidth="1"/>
    <col min="4" max="4" width="20.00390625" style="2" customWidth="1"/>
    <col min="5" max="5" width="12.8515625" style="2" customWidth="1"/>
    <col min="6" max="6" width="10.140625" style="2" customWidth="1"/>
    <col min="7" max="7" width="11.421875" style="2" customWidth="1"/>
    <col min="8" max="8" width="11.00390625" style="2" customWidth="1"/>
    <col min="9" max="16384" width="9.140625" style="2" customWidth="1"/>
  </cols>
  <sheetData>
    <row r="1" spans="5:7" ht="19.5" customHeight="1">
      <c r="E1" s="6"/>
      <c r="G1" s="18"/>
    </row>
    <row r="2" spans="1:4" ht="11.25" customHeight="1">
      <c r="A2" s="236" t="s">
        <v>21</v>
      </c>
      <c r="B2" s="236"/>
      <c r="C2" s="236"/>
      <c r="D2" s="3"/>
    </row>
    <row r="3" spans="1:4" ht="15.75">
      <c r="A3" s="98"/>
      <c r="B3" s="98"/>
      <c r="C3" s="98"/>
      <c r="D3" s="98"/>
    </row>
    <row r="4" spans="1:4" s="5" customFormat="1" ht="31.5">
      <c r="A4" s="11" t="s">
        <v>35</v>
      </c>
      <c r="B4" s="99" t="s">
        <v>30</v>
      </c>
      <c r="C4" s="99" t="s">
        <v>320</v>
      </c>
      <c r="D4" s="114" t="s">
        <v>321</v>
      </c>
    </row>
    <row r="5" spans="1:5" ht="15.75" customHeight="1">
      <c r="A5" s="37"/>
      <c r="B5" s="38" t="s">
        <v>324</v>
      </c>
      <c r="C5" s="42">
        <v>45358.31</v>
      </c>
      <c r="D5" s="44"/>
      <c r="E5" s="14"/>
    </row>
    <row r="6" spans="1:5" ht="15.75" customHeight="1">
      <c r="A6" s="37">
        <v>1</v>
      </c>
      <c r="B6" s="38" t="s">
        <v>84</v>
      </c>
      <c r="C6" s="42">
        <f>C7+C8+C9+C10</f>
        <v>256880</v>
      </c>
      <c r="D6" s="44">
        <f>D7+D8+D9+D10</f>
        <v>293863.94</v>
      </c>
      <c r="E6" s="14"/>
    </row>
    <row r="7" spans="1:5" ht="18" customHeight="1">
      <c r="A7" s="37">
        <v>2</v>
      </c>
      <c r="B7" s="24" t="s">
        <v>86</v>
      </c>
      <c r="C7" s="43">
        <v>106880</v>
      </c>
      <c r="D7" s="113">
        <v>106880</v>
      </c>
      <c r="E7" s="6"/>
    </row>
    <row r="8" spans="1:8" ht="18" customHeight="1">
      <c r="A8" s="37">
        <v>3</v>
      </c>
      <c r="B8" s="24" t="s">
        <v>88</v>
      </c>
      <c r="C8" s="43">
        <v>120000</v>
      </c>
      <c r="D8" s="113">
        <v>165000</v>
      </c>
      <c r="E8" s="6"/>
      <c r="G8" s="12"/>
      <c r="H8" s="118"/>
    </row>
    <row r="9" spans="1:8" ht="18" customHeight="1">
      <c r="A9" s="37">
        <v>4</v>
      </c>
      <c r="B9" s="24" t="s">
        <v>90</v>
      </c>
      <c r="C9" s="43">
        <v>25000</v>
      </c>
      <c r="D9" s="113">
        <v>16983.94</v>
      </c>
      <c r="E9" s="82"/>
      <c r="H9" s="77">
        <f>D6+D32</f>
        <v>404191</v>
      </c>
    </row>
    <row r="10" spans="1:5" ht="18" customHeight="1">
      <c r="A10" s="37">
        <v>5</v>
      </c>
      <c r="B10" s="24" t="s">
        <v>311</v>
      </c>
      <c r="C10" s="43">
        <v>5000</v>
      </c>
      <c r="D10" s="113">
        <v>5000</v>
      </c>
      <c r="E10" s="6"/>
    </row>
    <row r="11" spans="1:5" ht="31.5" customHeight="1">
      <c r="A11" s="37">
        <v>6</v>
      </c>
      <c r="B11" s="40" t="s">
        <v>97</v>
      </c>
      <c r="C11" s="42">
        <v>60015</v>
      </c>
      <c r="D11" s="44">
        <v>57936</v>
      </c>
      <c r="E11" s="83"/>
    </row>
    <row r="12" spans="1:5" ht="16.5" customHeight="1">
      <c r="A12" s="37">
        <v>7</v>
      </c>
      <c r="B12" s="38" t="s">
        <v>110</v>
      </c>
      <c r="C12" s="42">
        <f>C13+C14+C15</f>
        <v>218009</v>
      </c>
      <c r="D12" s="44">
        <f>D13+D15</f>
        <v>182303.9</v>
      </c>
      <c r="E12" s="6"/>
    </row>
    <row r="13" spans="1:5" ht="30" customHeight="1">
      <c r="A13" s="37">
        <v>8</v>
      </c>
      <c r="B13" s="26" t="s">
        <v>99</v>
      </c>
      <c r="C13" s="43">
        <v>88009</v>
      </c>
      <c r="D13" s="113">
        <v>62676</v>
      </c>
      <c r="E13" s="6"/>
    </row>
    <row r="14" spans="1:5" ht="16.5" customHeight="1">
      <c r="A14" s="37">
        <v>9</v>
      </c>
      <c r="B14" s="24" t="s">
        <v>312</v>
      </c>
      <c r="C14" s="43">
        <v>10000</v>
      </c>
      <c r="D14" s="113">
        <v>0</v>
      </c>
      <c r="E14" s="6"/>
    </row>
    <row r="15" spans="1:5" ht="16.5" customHeight="1">
      <c r="A15" s="37">
        <v>10</v>
      </c>
      <c r="B15" s="24" t="s">
        <v>313</v>
      </c>
      <c r="C15" s="43">
        <v>120000</v>
      </c>
      <c r="D15" s="113">
        <v>119627.9</v>
      </c>
      <c r="E15" s="6"/>
    </row>
    <row r="16" spans="1:5" ht="17.25" customHeight="1">
      <c r="A16" s="37">
        <v>11</v>
      </c>
      <c r="B16" s="38" t="s">
        <v>102</v>
      </c>
      <c r="C16" s="42">
        <v>8000</v>
      </c>
      <c r="D16" s="44">
        <v>5372</v>
      </c>
      <c r="E16" s="6"/>
    </row>
    <row r="17" spans="1:5" ht="33" customHeight="1">
      <c r="A17" s="37">
        <v>12</v>
      </c>
      <c r="B17" s="40" t="s">
        <v>109</v>
      </c>
      <c r="C17" s="42">
        <f>SUM(C18:C23)</f>
        <v>50387.16</v>
      </c>
      <c r="D17" s="44">
        <f>D18+D20+D21+D22+D23</f>
        <v>127863.95999999999</v>
      </c>
      <c r="E17" s="6"/>
    </row>
    <row r="18" spans="1:7" s="15" customFormat="1" ht="18.75" customHeight="1">
      <c r="A18" s="37">
        <v>13</v>
      </c>
      <c r="B18" s="24" t="s">
        <v>103</v>
      </c>
      <c r="C18" s="43">
        <v>11000</v>
      </c>
      <c r="D18" s="113">
        <v>10728.96</v>
      </c>
      <c r="E18" s="3"/>
      <c r="G18" s="2"/>
    </row>
    <row r="19" spans="1:4" ht="15.75" customHeight="1">
      <c r="A19" s="37">
        <v>14</v>
      </c>
      <c r="B19" s="24" t="s">
        <v>314</v>
      </c>
      <c r="C19" s="43">
        <f>5000</f>
        <v>5000</v>
      </c>
      <c r="D19" s="113">
        <v>0</v>
      </c>
    </row>
    <row r="20" spans="1:4" ht="18" customHeight="1">
      <c r="A20" s="37">
        <v>15</v>
      </c>
      <c r="B20" s="24" t="s">
        <v>315</v>
      </c>
      <c r="C20" s="43">
        <v>12000</v>
      </c>
      <c r="D20" s="113">
        <v>37603</v>
      </c>
    </row>
    <row r="21" spans="1:4" ht="15.75">
      <c r="A21" s="37">
        <v>16</v>
      </c>
      <c r="B21" s="24" t="s">
        <v>316</v>
      </c>
      <c r="C21" s="43">
        <v>5934.46</v>
      </c>
      <c r="D21" s="113">
        <v>5949</v>
      </c>
    </row>
    <row r="22" spans="1:4" ht="15.75">
      <c r="A22" s="37">
        <v>17</v>
      </c>
      <c r="B22" s="24" t="s">
        <v>317</v>
      </c>
      <c r="C22" s="43">
        <v>11452.7</v>
      </c>
      <c r="D22" s="113">
        <v>21381</v>
      </c>
    </row>
    <row r="23" spans="1:4" ht="15.75">
      <c r="A23" s="37">
        <v>18</v>
      </c>
      <c r="B23" s="24" t="s">
        <v>104</v>
      </c>
      <c r="C23" s="43">
        <v>5000</v>
      </c>
      <c r="D23" s="113">
        <v>52202</v>
      </c>
    </row>
    <row r="24" spans="1:4" ht="33" customHeight="1">
      <c r="A24" s="37">
        <v>19</v>
      </c>
      <c r="B24" s="40" t="s">
        <v>318</v>
      </c>
      <c r="C24" s="42">
        <f>C26+C27</f>
        <v>12000</v>
      </c>
      <c r="D24" s="44">
        <f>D26+D27</f>
        <v>2990.29</v>
      </c>
    </row>
    <row r="25" spans="1:4" ht="16.5" customHeight="1" hidden="1" outlineLevel="1">
      <c r="A25" s="37">
        <v>20</v>
      </c>
      <c r="B25" s="26" t="s">
        <v>112</v>
      </c>
      <c r="C25" s="43">
        <v>4000</v>
      </c>
      <c r="D25" s="113"/>
    </row>
    <row r="26" spans="1:4" ht="18" customHeight="1" collapsed="1">
      <c r="A26" s="37">
        <v>21</v>
      </c>
      <c r="B26" s="24" t="s">
        <v>319</v>
      </c>
      <c r="C26" s="43">
        <v>10000</v>
      </c>
      <c r="D26" s="113">
        <v>0</v>
      </c>
    </row>
    <row r="27" spans="1:4" ht="15.75">
      <c r="A27" s="37">
        <v>22</v>
      </c>
      <c r="B27" s="24" t="s">
        <v>112</v>
      </c>
      <c r="C27" s="43">
        <v>2000</v>
      </c>
      <c r="D27" s="113">
        <v>2990.29</v>
      </c>
    </row>
    <row r="28" spans="1:4" ht="15.75">
      <c r="A28" s="37">
        <v>23</v>
      </c>
      <c r="B28" s="38" t="s">
        <v>107</v>
      </c>
      <c r="C28" s="42">
        <v>67171.2</v>
      </c>
      <c r="D28" s="44">
        <v>71171.2</v>
      </c>
    </row>
    <row r="29" spans="1:4" ht="30.75" customHeight="1">
      <c r="A29" s="37">
        <v>25</v>
      </c>
      <c r="B29" s="38" t="s">
        <v>117</v>
      </c>
      <c r="C29" s="42">
        <v>20000</v>
      </c>
      <c r="D29" s="44">
        <v>10200</v>
      </c>
    </row>
    <row r="30" spans="1:6" ht="29.25" customHeight="1">
      <c r="A30" s="37">
        <v>26</v>
      </c>
      <c r="B30" s="40" t="s">
        <v>119</v>
      </c>
      <c r="C30" s="42">
        <v>19200</v>
      </c>
      <c r="D30" s="44">
        <v>19200</v>
      </c>
      <c r="F30" s="18"/>
    </row>
    <row r="31" spans="1:6" ht="15.75" customHeight="1">
      <c r="A31" s="37">
        <v>27</v>
      </c>
      <c r="B31" s="38" t="s">
        <v>121</v>
      </c>
      <c r="C31" s="42">
        <v>10000</v>
      </c>
      <c r="D31" s="44">
        <v>0</v>
      </c>
      <c r="F31" s="18"/>
    </row>
    <row r="32" spans="1:4" ht="15.75" customHeight="1">
      <c r="A32" s="37">
        <v>28</v>
      </c>
      <c r="B32" s="38" t="s">
        <v>123</v>
      </c>
      <c r="C32" s="42">
        <v>104311</v>
      </c>
      <c r="D32" s="44">
        <v>110327.06</v>
      </c>
    </row>
    <row r="33" spans="1:4" ht="15.75" customHeight="1">
      <c r="A33" s="37">
        <v>29</v>
      </c>
      <c r="B33" s="38" t="s">
        <v>325</v>
      </c>
      <c r="C33" s="42">
        <v>0</v>
      </c>
      <c r="D33" s="44">
        <v>86204.1</v>
      </c>
    </row>
    <row r="34" spans="1:4" ht="15.75" customHeight="1">
      <c r="A34" s="213" t="s">
        <v>144</v>
      </c>
      <c r="B34" s="213"/>
      <c r="C34" s="42">
        <f>C6+C11+C12+C16+C17+C24+C28+C29+C30+C31+C32</f>
        <v>825973.36</v>
      </c>
      <c r="D34" s="44">
        <f>D6+D11+D12+D16+D17+D24+D28+D29+D30+D32+D33</f>
        <v>967432.4499999998</v>
      </c>
    </row>
    <row r="35" spans="1:4" ht="15.75" customHeight="1">
      <c r="A35" s="11"/>
      <c r="B35" s="111"/>
      <c r="C35" s="112"/>
      <c r="D35" s="112"/>
    </row>
    <row r="36" spans="1:4" ht="15.75">
      <c r="A36" s="94" t="s">
        <v>310</v>
      </c>
      <c r="B36" s="94"/>
      <c r="C36" s="94"/>
      <c r="D36" s="17">
        <f>'2015 стд'!D6+'2015 стд'!D12-'2015нестд'!D34</f>
        <v>-4375.639999999781</v>
      </c>
    </row>
    <row r="37" spans="1:4" ht="15.75">
      <c r="A37" s="104" t="s">
        <v>307</v>
      </c>
      <c r="B37" s="105"/>
      <c r="C37" s="106"/>
      <c r="D37" s="17">
        <f>'2015 стд'!F12</f>
        <v>102066.40000000002</v>
      </c>
    </row>
    <row r="38" spans="1:4" ht="15.75">
      <c r="A38" s="11"/>
      <c r="B38" s="111"/>
      <c r="C38" s="112"/>
      <c r="D38" s="112"/>
    </row>
    <row r="39" spans="1:4" ht="15.75">
      <c r="A39" s="11"/>
      <c r="B39" s="111" t="s">
        <v>322</v>
      </c>
      <c r="C39" s="112"/>
      <c r="D39" s="112"/>
    </row>
    <row r="40" spans="1:4" ht="15.75" customHeight="1">
      <c r="A40" s="11"/>
      <c r="B40" s="111"/>
      <c r="C40" s="112"/>
      <c r="D40" s="112"/>
    </row>
    <row r="41" spans="1:4" ht="15.75">
      <c r="A41" s="11"/>
      <c r="B41" s="111"/>
      <c r="C41" s="112"/>
      <c r="D41" s="112"/>
    </row>
    <row r="42" spans="1:4" ht="15.75" customHeight="1">
      <c r="A42" s="11"/>
      <c r="B42" s="111"/>
      <c r="C42" s="112"/>
      <c r="D42" s="112"/>
    </row>
    <row r="43" spans="1:4" ht="30" customHeight="1">
      <c r="A43" s="11"/>
      <c r="B43" s="109"/>
      <c r="C43" s="110"/>
      <c r="D43" s="110"/>
    </row>
    <row r="44" spans="1:4" ht="30" customHeight="1">
      <c r="A44" s="11"/>
      <c r="B44" s="109"/>
      <c r="C44" s="110"/>
      <c r="D44" s="110"/>
    </row>
    <row r="45" spans="1:4" ht="30" customHeight="1">
      <c r="A45" s="11"/>
      <c r="B45" s="109"/>
      <c r="C45" s="110"/>
      <c r="D45" s="110"/>
    </row>
    <row r="46" spans="1:4" ht="27" customHeight="1">
      <c r="A46" s="11"/>
      <c r="B46" s="109"/>
      <c r="C46" s="110"/>
      <c r="D46" s="110"/>
    </row>
    <row r="47" spans="1:4" ht="30" customHeight="1">
      <c r="A47" s="99"/>
      <c r="B47" s="107"/>
      <c r="C47" s="108"/>
      <c r="D47" s="108"/>
    </row>
    <row r="48" spans="1:4" ht="30" customHeight="1">
      <c r="A48" s="1"/>
      <c r="B48" s="10"/>
      <c r="C48" s="10"/>
      <c r="D48" s="10"/>
    </row>
    <row r="49" spans="1:4" ht="31.5" customHeight="1">
      <c r="A49" s="94"/>
      <c r="B49" s="94"/>
      <c r="C49" s="94"/>
      <c r="D49" s="94"/>
    </row>
    <row r="50" spans="1:4" ht="15.75" customHeight="1">
      <c r="A50" s="104"/>
      <c r="B50" s="105"/>
      <c r="C50" s="105"/>
      <c r="D50" s="105"/>
    </row>
    <row r="51" spans="1:4" ht="31.5" customHeight="1">
      <c r="A51" s="102"/>
      <c r="B51" s="103"/>
      <c r="C51" s="103"/>
      <c r="D51" s="103"/>
    </row>
    <row r="52" ht="30" customHeight="1"/>
    <row r="53" ht="30" customHeight="1"/>
    <row r="54" spans="1:4" s="50" customFormat="1" ht="15" customHeight="1">
      <c r="A54" s="16"/>
      <c r="B54" s="16"/>
      <c r="C54" s="95"/>
      <c r="D54" s="96"/>
    </row>
    <row r="55" spans="1:4" s="50" customFormat="1" ht="15" customHeight="1">
      <c r="A55" s="47"/>
      <c r="B55" s="48"/>
      <c r="C55" s="88"/>
      <c r="D55" s="89"/>
    </row>
    <row r="56" spans="1:4" s="50" customFormat="1" ht="15" customHeight="1">
      <c r="A56" s="47"/>
      <c r="B56" s="48"/>
      <c r="C56" s="88"/>
      <c r="D56" s="89"/>
    </row>
    <row r="57" spans="1:4" s="50" customFormat="1" ht="15" customHeight="1">
      <c r="A57" s="47"/>
      <c r="B57" s="48"/>
      <c r="C57" s="88"/>
      <c r="D57" s="89"/>
    </row>
    <row r="58" spans="1:4" s="50" customFormat="1" ht="15" customHeight="1">
      <c r="A58" s="47"/>
      <c r="B58" s="48"/>
      <c r="C58" s="88"/>
      <c r="D58" s="89"/>
    </row>
    <row r="59" spans="1:4" s="50" customFormat="1" ht="32.25" customHeight="1">
      <c r="A59" s="47"/>
      <c r="B59" s="48"/>
      <c r="C59" s="88"/>
      <c r="D59" s="89"/>
    </row>
    <row r="60" spans="1:4" s="50" customFormat="1" ht="15" customHeight="1">
      <c r="A60" s="47"/>
      <c r="B60" s="48"/>
      <c r="C60" s="88"/>
      <c r="D60" s="89"/>
    </row>
    <row r="61" spans="1:4" s="50" customFormat="1" ht="27" customHeight="1">
      <c r="A61" s="47"/>
      <c r="B61" s="48"/>
      <c r="C61" s="88"/>
      <c r="D61" s="89"/>
    </row>
    <row r="62" spans="1:4" s="50" customFormat="1" ht="30.75" customHeight="1">
      <c r="A62" s="47"/>
      <c r="B62" s="48"/>
      <c r="C62" s="88"/>
      <c r="D62" s="89"/>
    </row>
    <row r="63" spans="1:4" s="15" customFormat="1" ht="15.75" customHeight="1">
      <c r="A63" s="47"/>
      <c r="B63" s="48"/>
      <c r="C63" s="86"/>
      <c r="D63" s="87"/>
    </row>
    <row r="64" spans="1:4" s="50" customFormat="1" ht="15" customHeight="1">
      <c r="A64" s="47"/>
      <c r="B64" s="48"/>
      <c r="C64" s="86"/>
      <c r="D64" s="87"/>
    </row>
    <row r="65" spans="1:4" s="50" customFormat="1" ht="15" customHeight="1">
      <c r="A65" s="47"/>
      <c r="B65" s="48"/>
      <c r="C65" s="86"/>
      <c r="D65" s="87"/>
    </row>
    <row r="66" spans="1:4" s="50" customFormat="1" ht="15" customHeight="1">
      <c r="A66" s="47"/>
      <c r="B66" s="48"/>
      <c r="C66" s="92"/>
      <c r="D66" s="93"/>
    </row>
    <row r="67" spans="1:4" ht="30.75" customHeight="1">
      <c r="A67" s="47"/>
      <c r="B67" s="48"/>
      <c r="C67" s="92"/>
      <c r="D67" s="93"/>
    </row>
    <row r="68" spans="1:4" s="15" customFormat="1" ht="15.75" customHeight="1">
      <c r="A68" s="47"/>
      <c r="B68" s="48"/>
      <c r="C68" s="92"/>
      <c r="D68" s="93"/>
    </row>
    <row r="69" spans="1:4" s="50" customFormat="1" ht="30.75" customHeight="1">
      <c r="A69" s="47"/>
      <c r="B69" s="48"/>
      <c r="C69" s="92"/>
      <c r="D69" s="93"/>
    </row>
    <row r="70" spans="1:4" s="50" customFormat="1" ht="15" customHeight="1">
      <c r="A70" s="47"/>
      <c r="B70" s="48"/>
      <c r="C70" s="90"/>
      <c r="D70" s="91"/>
    </row>
    <row r="71" spans="1:4" s="15" customFormat="1" ht="15.75">
      <c r="A71" s="47"/>
      <c r="B71" s="48"/>
      <c r="C71" s="92"/>
      <c r="D71" s="93"/>
    </row>
    <row r="72" spans="1:4" ht="15.75">
      <c r="A72" s="47"/>
      <c r="B72" s="48"/>
      <c r="C72" s="90"/>
      <c r="D72" s="91"/>
    </row>
    <row r="73" spans="1:4" ht="15.75">
      <c r="A73" s="47"/>
      <c r="B73" s="48"/>
      <c r="C73" s="86"/>
      <c r="D73" s="87"/>
    </row>
    <row r="74" spans="1:4" ht="15.75">
      <c r="A74" s="47"/>
      <c r="B74" s="48"/>
      <c r="C74" s="86"/>
      <c r="D74" s="87"/>
    </row>
    <row r="75" spans="1:4" ht="15.75">
      <c r="A75" s="47"/>
      <c r="B75" s="48"/>
      <c r="C75" s="86"/>
      <c r="D75" s="87"/>
    </row>
    <row r="76" spans="1:4" ht="15.75">
      <c r="A76" s="47"/>
      <c r="B76" s="48"/>
      <c r="C76" s="86"/>
      <c r="D76" s="87"/>
    </row>
    <row r="77" spans="1:4" ht="15.75">
      <c r="A77" s="47"/>
      <c r="B77" s="48"/>
      <c r="C77" s="86"/>
      <c r="D77" s="87"/>
    </row>
    <row r="78" spans="1:4" ht="15.75">
      <c r="A78" s="47"/>
      <c r="B78" s="48"/>
      <c r="C78" s="86"/>
      <c r="D78" s="87"/>
    </row>
    <row r="79" spans="1:4" ht="15.75">
      <c r="A79" s="47"/>
      <c r="B79" s="48"/>
      <c r="C79" s="86"/>
      <c r="D79" s="87"/>
    </row>
    <row r="80" spans="1:4" ht="15.75">
      <c r="A80" s="47"/>
      <c r="B80" s="48"/>
      <c r="C80" s="88"/>
      <c r="D80" s="89"/>
    </row>
    <row r="81" spans="1:4" ht="15.75">
      <c r="A81" s="47"/>
      <c r="B81" s="48"/>
      <c r="C81" s="88"/>
      <c r="D81" s="89"/>
    </row>
    <row r="82" spans="1:4" ht="15.75">
      <c r="A82" s="47"/>
      <c r="B82" s="48"/>
      <c r="C82" s="88"/>
      <c r="D82" s="89"/>
    </row>
    <row r="83" spans="1:4" ht="15.75">
      <c r="A83" s="47"/>
      <c r="B83" s="48"/>
      <c r="C83" s="88"/>
      <c r="D83" s="89"/>
    </row>
    <row r="84" spans="1:4" ht="15.75">
      <c r="A84" s="47"/>
      <c r="B84" s="48"/>
      <c r="C84" s="88"/>
      <c r="D84" s="89"/>
    </row>
    <row r="85" spans="1:4" ht="15.75">
      <c r="A85" s="47"/>
      <c r="B85" s="48"/>
      <c r="C85" s="88"/>
      <c r="D85" s="89"/>
    </row>
    <row r="86" spans="1:4" ht="15.75">
      <c r="A86" s="47"/>
      <c r="B86" s="48"/>
      <c r="C86" s="88"/>
      <c r="D86" s="89"/>
    </row>
    <row r="87" spans="1:4" ht="15.75">
      <c r="A87" s="47"/>
      <c r="B87" s="48"/>
      <c r="C87" s="88"/>
      <c r="D87" s="89"/>
    </row>
    <row r="88" spans="1:4" ht="15.75">
      <c r="A88" s="47"/>
      <c r="B88" s="48"/>
      <c r="C88" s="88"/>
      <c r="D88" s="89"/>
    </row>
    <row r="89" spans="1:4" ht="15.75">
      <c r="A89" s="47"/>
      <c r="B89" s="48"/>
      <c r="C89" s="88"/>
      <c r="D89" s="89"/>
    </row>
    <row r="90" spans="1:4" ht="15.75">
      <c r="A90" s="47"/>
      <c r="B90" s="48"/>
      <c r="C90" s="88"/>
      <c r="D90" s="89"/>
    </row>
    <row r="91" spans="1:4" ht="15.75">
      <c r="A91" s="47"/>
      <c r="B91" s="48"/>
      <c r="C91" s="88"/>
      <c r="D91" s="89"/>
    </row>
    <row r="92" spans="1:4" ht="15.75">
      <c r="A92" s="47"/>
      <c r="B92" s="48"/>
      <c r="C92" s="88"/>
      <c r="D92" s="89"/>
    </row>
    <row r="93" spans="1:4" ht="15.75">
      <c r="A93" s="47"/>
      <c r="B93" s="48"/>
      <c r="C93" s="88"/>
      <c r="D93" s="89"/>
    </row>
    <row r="94" spans="1:4" ht="15.75">
      <c r="A94" s="47"/>
      <c r="B94" s="48"/>
      <c r="C94" s="88"/>
      <c r="D94" s="89"/>
    </row>
    <row r="95" spans="1:4" ht="15.75">
      <c r="A95" s="47"/>
      <c r="B95" s="48"/>
      <c r="C95" s="88"/>
      <c r="D95" s="89"/>
    </row>
    <row r="96" spans="1:4" ht="15.75">
      <c r="A96" s="47"/>
      <c r="B96" s="48"/>
      <c r="C96" s="86"/>
      <c r="D96" s="87"/>
    </row>
    <row r="97" spans="1:4" ht="15.75">
      <c r="A97" s="47"/>
      <c r="B97" s="48"/>
      <c r="C97" s="86"/>
      <c r="D97" s="87"/>
    </row>
    <row r="98" spans="1:4" ht="15.75">
      <c r="A98" s="47"/>
      <c r="B98" s="48"/>
      <c r="C98" s="86"/>
      <c r="D98" s="87"/>
    </row>
    <row r="99" spans="1:4" ht="15.75">
      <c r="A99" s="47"/>
      <c r="B99" s="48"/>
      <c r="C99" s="88"/>
      <c r="D99" s="89"/>
    </row>
    <row r="100" spans="1:4" ht="15.75">
      <c r="A100" s="47"/>
      <c r="B100" s="48"/>
      <c r="C100" s="88"/>
      <c r="D100" s="89"/>
    </row>
    <row r="101" spans="1:4" ht="15.75">
      <c r="A101" s="47"/>
      <c r="B101" s="48"/>
      <c r="C101" s="86"/>
      <c r="D101" s="87"/>
    </row>
    <row r="102" spans="1:4" ht="15.75">
      <c r="A102" s="100"/>
      <c r="B102" s="101"/>
      <c r="C102" s="101"/>
      <c r="D102" s="101"/>
    </row>
  </sheetData>
  <sheetProtection selectLockedCells="1" selectUnlockedCells="1"/>
  <mergeCells count="2">
    <mergeCell ref="A34:B34"/>
    <mergeCell ref="A2:C2"/>
  </mergeCells>
  <printOptions horizontalCentered="1" verticalCentered="1"/>
  <pageMargins left="0.7480314960629921" right="0.7480314960629921" top="0.1968503937007874" bottom="0.1968503937007874" header="0" footer="0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2018-03-30T13:31:47Z</cp:lastPrinted>
  <dcterms:created xsi:type="dcterms:W3CDTF">2015-10-12T10:40:12Z</dcterms:created>
  <dcterms:modified xsi:type="dcterms:W3CDTF">2018-04-24T09:09:54Z</dcterms:modified>
  <cp:category/>
  <cp:version/>
  <cp:contentType/>
  <cp:contentStatus/>
</cp:coreProperties>
</file>